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735" windowWidth="9720" windowHeight="7320"/>
  </bookViews>
  <sheets>
    <sheet name="Лист1" sheetId="1" r:id="rId1"/>
  </sheets>
  <definedNames>
    <definedName name="б05">Лист1!#REF!</definedName>
    <definedName name="б3">Лист1!#REF!</definedName>
    <definedName name="банка05л">Лист1!#REF!</definedName>
    <definedName name="банка3л">Лист1!#REF!</definedName>
  </definedNames>
  <calcPr calcId="124519"/>
</workbook>
</file>

<file path=xl/calcChain.xml><?xml version="1.0" encoding="utf-8"?>
<calcChain xmlns="http://schemas.openxmlformats.org/spreadsheetml/2006/main">
  <c r="H72" i="1"/>
  <c r="F72"/>
  <c r="L72" l="1"/>
  <c r="T72"/>
  <c r="R72"/>
  <c r="P72"/>
  <c r="N72"/>
  <c r="J72"/>
  <c r="I72"/>
  <c r="U72" s="1"/>
  <c r="G72"/>
  <c r="S72" s="1"/>
  <c r="K72" l="1"/>
  <c r="M72"/>
  <c r="O72"/>
  <c r="Q72"/>
  <c r="T47"/>
  <c r="R47"/>
  <c r="P47"/>
  <c r="N47"/>
  <c r="L47"/>
  <c r="J47"/>
  <c r="I47"/>
  <c r="U47" s="1"/>
  <c r="G47"/>
  <c r="S47" s="1"/>
  <c r="T48"/>
  <c r="R48"/>
  <c r="P48"/>
  <c r="N48"/>
  <c r="L48"/>
  <c r="J48"/>
  <c r="I48"/>
  <c r="U48" s="1"/>
  <c r="G48"/>
  <c r="S48" s="1"/>
  <c r="G49"/>
  <c r="I49"/>
  <c r="J49"/>
  <c r="K49"/>
  <c r="L49"/>
  <c r="M49"/>
  <c r="N49"/>
  <c r="O49"/>
  <c r="P49"/>
  <c r="Q49"/>
  <c r="R49"/>
  <c r="S49"/>
  <c r="T49"/>
  <c r="U49"/>
  <c r="I50"/>
  <c r="G50"/>
  <c r="K47" l="1"/>
  <c r="M47"/>
  <c r="O47"/>
  <c r="Q47"/>
  <c r="K48"/>
  <c r="M48"/>
  <c r="O48"/>
  <c r="Q48"/>
  <c r="H59"/>
  <c r="I59" s="1"/>
  <c r="F59"/>
  <c r="G59" s="1"/>
  <c r="H68"/>
  <c r="F68"/>
  <c r="H58"/>
  <c r="F58"/>
  <c r="H57"/>
  <c r="F57"/>
  <c r="H56"/>
  <c r="F56"/>
  <c r="H55"/>
  <c r="F55"/>
  <c r="H42"/>
  <c r="F42"/>
  <c r="F53"/>
  <c r="H53"/>
  <c r="G43"/>
  <c r="I45"/>
  <c r="I43"/>
  <c r="H38"/>
  <c r="F38"/>
  <c r="H36"/>
  <c r="F36"/>
  <c r="H35"/>
  <c r="F35"/>
  <c r="H34"/>
  <c r="F34"/>
  <c r="H33"/>
  <c r="F33"/>
  <c r="H32"/>
  <c r="F32"/>
  <c r="H15"/>
  <c r="H16" l="1"/>
  <c r="L15"/>
  <c r="F16"/>
  <c r="F15"/>
  <c r="L58"/>
  <c r="T16"/>
  <c r="R16"/>
  <c r="I64"/>
  <c r="M64"/>
  <c r="Q64"/>
  <c r="U64"/>
  <c r="L64"/>
  <c r="P64"/>
  <c r="T64"/>
  <c r="G64"/>
  <c r="K64"/>
  <c r="O64"/>
  <c r="S64"/>
  <c r="J64"/>
  <c r="N64"/>
  <c r="R64"/>
  <c r="I63"/>
  <c r="M63"/>
  <c r="Q63"/>
  <c r="U63"/>
  <c r="L63"/>
  <c r="P63"/>
  <c r="T63"/>
  <c r="G63"/>
  <c r="K63"/>
  <c r="O63"/>
  <c r="S63"/>
  <c r="J63"/>
  <c r="N63"/>
  <c r="R63"/>
  <c r="G16" l="1"/>
  <c r="I16"/>
  <c r="J16"/>
  <c r="L16"/>
  <c r="N16"/>
  <c r="P16"/>
  <c r="J25"/>
  <c r="L25"/>
  <c r="T62"/>
  <c r="R62"/>
  <c r="P62"/>
  <c r="N62"/>
  <c r="L62"/>
  <c r="J62"/>
  <c r="I62"/>
  <c r="U62" s="1"/>
  <c r="G62"/>
  <c r="S62" s="1"/>
  <c r="T61"/>
  <c r="R61"/>
  <c r="P61"/>
  <c r="N61"/>
  <c r="L61"/>
  <c r="J61"/>
  <c r="I61"/>
  <c r="U61" s="1"/>
  <c r="G61"/>
  <c r="S61" s="1"/>
  <c r="T60"/>
  <c r="R60"/>
  <c r="P60"/>
  <c r="N60"/>
  <c r="L60"/>
  <c r="J60"/>
  <c r="I60"/>
  <c r="U60" s="1"/>
  <c r="G60"/>
  <c r="S60" s="1"/>
  <c r="H40"/>
  <c r="F40"/>
  <c r="T55"/>
  <c r="R55"/>
  <c r="P55"/>
  <c r="N55"/>
  <c r="L55"/>
  <c r="J55"/>
  <c r="I55"/>
  <c r="U55" s="1"/>
  <c r="G55"/>
  <c r="S55" s="1"/>
  <c r="H37"/>
  <c r="T38"/>
  <c r="R38"/>
  <c r="T37"/>
  <c r="R37"/>
  <c r="U16" l="1"/>
  <c r="Q16"/>
  <c r="M16"/>
  <c r="S16"/>
  <c r="O16"/>
  <c r="K16"/>
  <c r="K62"/>
  <c r="M62"/>
  <c r="O62"/>
  <c r="Q62"/>
  <c r="K61"/>
  <c r="M61"/>
  <c r="O61"/>
  <c r="Q61"/>
  <c r="K60"/>
  <c r="M60"/>
  <c r="O60"/>
  <c r="Q60"/>
  <c r="K55"/>
  <c r="M55"/>
  <c r="O55"/>
  <c r="Q55"/>
  <c r="G38"/>
  <c r="I38"/>
  <c r="J38"/>
  <c r="L38"/>
  <c r="N38"/>
  <c r="P38"/>
  <c r="G37"/>
  <c r="I37"/>
  <c r="J37"/>
  <c r="L37"/>
  <c r="N37"/>
  <c r="P37"/>
  <c r="U38" l="1"/>
  <c r="Q38"/>
  <c r="M38"/>
  <c r="S38"/>
  <c r="O38"/>
  <c r="K38"/>
  <c r="U37"/>
  <c r="Q37"/>
  <c r="M37"/>
  <c r="S37"/>
  <c r="O37"/>
  <c r="K37"/>
  <c r="T58" l="1"/>
  <c r="R58"/>
  <c r="L40"/>
  <c r="G40"/>
  <c r="I40"/>
  <c r="G58" l="1"/>
  <c r="I58"/>
  <c r="J58"/>
  <c r="N58"/>
  <c r="P58"/>
  <c r="T40"/>
  <c r="R40"/>
  <c r="P40"/>
  <c r="N40"/>
  <c r="J40"/>
  <c r="U40"/>
  <c r="S40"/>
  <c r="T70"/>
  <c r="R70"/>
  <c r="P70"/>
  <c r="N70"/>
  <c r="L70"/>
  <c r="J70"/>
  <c r="I70"/>
  <c r="U70" s="1"/>
  <c r="G70"/>
  <c r="S70" s="1"/>
  <c r="L52"/>
  <c r="L53"/>
  <c r="F14"/>
  <c r="G14"/>
  <c r="I14"/>
  <c r="J14"/>
  <c r="K14"/>
  <c r="L14"/>
  <c r="M14"/>
  <c r="N14"/>
  <c r="O14"/>
  <c r="P14"/>
  <c r="Q14"/>
  <c r="R14"/>
  <c r="S14"/>
  <c r="T14"/>
  <c r="U14"/>
  <c r="T21"/>
  <c r="R21"/>
  <c r="P21"/>
  <c r="N21"/>
  <c r="L21"/>
  <c r="J21"/>
  <c r="I21"/>
  <c r="U21" s="1"/>
  <c r="G21"/>
  <c r="S21" s="1"/>
  <c r="T11"/>
  <c r="R11"/>
  <c r="P11"/>
  <c r="N11"/>
  <c r="L11"/>
  <c r="J11"/>
  <c r="G11"/>
  <c r="S11" s="1"/>
  <c r="I11"/>
  <c r="U11" s="1"/>
  <c r="J32"/>
  <c r="T36"/>
  <c r="R36"/>
  <c r="T26"/>
  <c r="R26"/>
  <c r="P26"/>
  <c r="N26"/>
  <c r="L26"/>
  <c r="J26"/>
  <c r="I26"/>
  <c r="U26" s="1"/>
  <c r="G26"/>
  <c r="S26" s="1"/>
  <c r="P27"/>
  <c r="L27"/>
  <c r="T27"/>
  <c r="R27"/>
  <c r="N27"/>
  <c r="J27"/>
  <c r="I27"/>
  <c r="U27" s="1"/>
  <c r="G28"/>
  <c r="G29"/>
  <c r="G30"/>
  <c r="G31"/>
  <c r="G27"/>
  <c r="S27" s="1"/>
  <c r="G25"/>
  <c r="T56"/>
  <c r="R56"/>
  <c r="P56"/>
  <c r="N56"/>
  <c r="L56"/>
  <c r="J56"/>
  <c r="T50"/>
  <c r="R50"/>
  <c r="P50"/>
  <c r="N50"/>
  <c r="T52"/>
  <c r="R52"/>
  <c r="P52"/>
  <c r="N52"/>
  <c r="J52"/>
  <c r="L50"/>
  <c r="J50"/>
  <c r="K25"/>
  <c r="L28"/>
  <c r="K28"/>
  <c r="J28"/>
  <c r="L31"/>
  <c r="J31"/>
  <c r="L42"/>
  <c r="J42"/>
  <c r="P42"/>
  <c r="T42"/>
  <c r="R42"/>
  <c r="N42"/>
  <c r="T31"/>
  <c r="R31"/>
  <c r="P31"/>
  <c r="N31"/>
  <c r="T25"/>
  <c r="S25"/>
  <c r="R25"/>
  <c r="P25"/>
  <c r="O25"/>
  <c r="N25"/>
  <c r="T28"/>
  <c r="S28"/>
  <c r="R28"/>
  <c r="P28"/>
  <c r="O28"/>
  <c r="N28"/>
  <c r="I28"/>
  <c r="M28" s="1"/>
  <c r="H51"/>
  <c r="T51" s="1"/>
  <c r="F51"/>
  <c r="R51" s="1"/>
  <c r="I51"/>
  <c r="U51" s="1"/>
  <c r="G51"/>
  <c r="S51" s="1"/>
  <c r="U50"/>
  <c r="S50"/>
  <c r="T53"/>
  <c r="I53"/>
  <c r="U53" s="1"/>
  <c r="R53"/>
  <c r="G53"/>
  <c r="S53" s="1"/>
  <c r="I41"/>
  <c r="U41"/>
  <c r="T41"/>
  <c r="G41"/>
  <c r="S41"/>
  <c r="R41"/>
  <c r="Q41"/>
  <c r="P41"/>
  <c r="O41"/>
  <c r="N41"/>
  <c r="L41"/>
  <c r="M41"/>
  <c r="K41"/>
  <c r="J41"/>
  <c r="I35"/>
  <c r="U35"/>
  <c r="T35"/>
  <c r="G35"/>
  <c r="S35"/>
  <c r="R35"/>
  <c r="Q35"/>
  <c r="P35"/>
  <c r="O35"/>
  <c r="N35"/>
  <c r="M35"/>
  <c r="L35"/>
  <c r="K35"/>
  <c r="J35"/>
  <c r="I24"/>
  <c r="U24"/>
  <c r="T24"/>
  <c r="G24"/>
  <c r="S24"/>
  <c r="R24"/>
  <c r="Q24"/>
  <c r="P24"/>
  <c r="O24"/>
  <c r="N24"/>
  <c r="M24"/>
  <c r="L24"/>
  <c r="K24"/>
  <c r="J24"/>
  <c r="G13"/>
  <c r="O13"/>
  <c r="T13"/>
  <c r="R13"/>
  <c r="P13"/>
  <c r="N13"/>
  <c r="L13"/>
  <c r="J13"/>
  <c r="I13"/>
  <c r="U13"/>
  <c r="S13"/>
  <c r="K13"/>
  <c r="M13"/>
  <c r="Q13"/>
  <c r="T23"/>
  <c r="P23"/>
  <c r="L23"/>
  <c r="R23"/>
  <c r="N23"/>
  <c r="J23"/>
  <c r="I23"/>
  <c r="U23"/>
  <c r="G23"/>
  <c r="S23"/>
  <c r="K23"/>
  <c r="M23"/>
  <c r="O23"/>
  <c r="Q23"/>
  <c r="L34"/>
  <c r="N34"/>
  <c r="J34"/>
  <c r="T34"/>
  <c r="R34"/>
  <c r="L32"/>
  <c r="L33"/>
  <c r="J33"/>
  <c r="I32"/>
  <c r="M32" s="1"/>
  <c r="G32"/>
  <c r="K32" s="1"/>
  <c r="G34"/>
  <c r="K34"/>
  <c r="I34"/>
  <c r="M34"/>
  <c r="P34"/>
  <c r="I52"/>
  <c r="U52" s="1"/>
  <c r="G52"/>
  <c r="S52" s="1"/>
  <c r="L22"/>
  <c r="J22"/>
  <c r="R22"/>
  <c r="T22"/>
  <c r="N22"/>
  <c r="P22"/>
  <c r="I22"/>
  <c r="M22"/>
  <c r="G22"/>
  <c r="K22"/>
  <c r="I42"/>
  <c r="M42" s="1"/>
  <c r="G42"/>
  <c r="K42" s="1"/>
  <c r="U34"/>
  <c r="Q34"/>
  <c r="S34"/>
  <c r="O34"/>
  <c r="Q22"/>
  <c r="O22"/>
  <c r="U22"/>
  <c r="S22"/>
  <c r="I33"/>
  <c r="M33" s="1"/>
  <c r="G33"/>
  <c r="K33" s="1"/>
  <c r="T71"/>
  <c r="P71"/>
  <c r="L71"/>
  <c r="I71"/>
  <c r="U71"/>
  <c r="R71"/>
  <c r="T69"/>
  <c r="R69"/>
  <c r="G71"/>
  <c r="S71"/>
  <c r="M71"/>
  <c r="K71"/>
  <c r="J71"/>
  <c r="O71"/>
  <c r="Q71"/>
  <c r="N71"/>
  <c r="G44"/>
  <c r="I44"/>
  <c r="J44"/>
  <c r="K44"/>
  <c r="L44"/>
  <c r="M44"/>
  <c r="N44"/>
  <c r="O44"/>
  <c r="P44"/>
  <c r="Q44"/>
  <c r="R44"/>
  <c r="S44"/>
  <c r="T44"/>
  <c r="U44"/>
  <c r="L19"/>
  <c r="T19"/>
  <c r="R19"/>
  <c r="P19"/>
  <c r="N19"/>
  <c r="J19"/>
  <c r="I19"/>
  <c r="U19"/>
  <c r="G19"/>
  <c r="S19"/>
  <c r="P12"/>
  <c r="R12"/>
  <c r="T12"/>
  <c r="N12"/>
  <c r="L12"/>
  <c r="J12"/>
  <c r="I12"/>
  <c r="M12"/>
  <c r="G12"/>
  <c r="K12"/>
  <c r="K19"/>
  <c r="M19"/>
  <c r="O19"/>
  <c r="Q19"/>
  <c r="U12"/>
  <c r="Q12"/>
  <c r="S12"/>
  <c r="O12"/>
  <c r="T57"/>
  <c r="R57"/>
  <c r="T29"/>
  <c r="T30"/>
  <c r="R29"/>
  <c r="R30"/>
  <c r="P29"/>
  <c r="P30"/>
  <c r="N29"/>
  <c r="N30"/>
  <c r="I57"/>
  <c r="U57" s="1"/>
  <c r="G57"/>
  <c r="S57" s="1"/>
  <c r="L29"/>
  <c r="L30"/>
  <c r="J29"/>
  <c r="J30"/>
  <c r="I31"/>
  <c r="M31" s="1"/>
  <c r="K31"/>
  <c r="I30"/>
  <c r="I29"/>
  <c r="K29"/>
  <c r="S29"/>
  <c r="O29"/>
  <c r="U29"/>
  <c r="Q29"/>
  <c r="M29"/>
  <c r="K30"/>
  <c r="S30"/>
  <c r="O30"/>
  <c r="U30"/>
  <c r="Q30"/>
  <c r="M30"/>
  <c r="T68"/>
  <c r="R68"/>
  <c r="I69"/>
  <c r="U69" s="1"/>
  <c r="G69"/>
  <c r="S69" s="1"/>
  <c r="J66"/>
  <c r="I25"/>
  <c r="M25" s="1"/>
  <c r="U43"/>
  <c r="U45"/>
  <c r="T15"/>
  <c r="T18"/>
  <c r="T20"/>
  <c r="T43"/>
  <c r="T45"/>
  <c r="S43"/>
  <c r="R15"/>
  <c r="R18"/>
  <c r="R20"/>
  <c r="R43"/>
  <c r="R45"/>
  <c r="R66"/>
  <c r="R67"/>
  <c r="Q43"/>
  <c r="Q45"/>
  <c r="P15"/>
  <c r="P18"/>
  <c r="P20"/>
  <c r="P43"/>
  <c r="P45"/>
  <c r="O43"/>
  <c r="N15"/>
  <c r="N18"/>
  <c r="N20"/>
  <c r="N43"/>
  <c r="N45"/>
  <c r="N66"/>
  <c r="N67"/>
  <c r="M43"/>
  <c r="M45"/>
  <c r="L18"/>
  <c r="L20"/>
  <c r="L43"/>
  <c r="L45"/>
  <c r="K43"/>
  <c r="J15"/>
  <c r="J18"/>
  <c r="J20"/>
  <c r="J43"/>
  <c r="J45"/>
  <c r="J67"/>
  <c r="G45"/>
  <c r="S45"/>
  <c r="G15"/>
  <c r="I15"/>
  <c r="G18"/>
  <c r="I18"/>
  <c r="G20"/>
  <c r="I20"/>
  <c r="G56"/>
  <c r="S56" s="1"/>
  <c r="I56"/>
  <c r="U56" s="1"/>
  <c r="G66"/>
  <c r="I66"/>
  <c r="G67"/>
  <c r="I67"/>
  <c r="G68"/>
  <c r="S68" s="1"/>
  <c r="I68"/>
  <c r="U68" s="1"/>
  <c r="U67"/>
  <c r="Q67"/>
  <c r="M67"/>
  <c r="T67"/>
  <c r="P67"/>
  <c r="L67"/>
  <c r="S67"/>
  <c r="O67"/>
  <c r="K67"/>
  <c r="U66"/>
  <c r="Q66"/>
  <c r="M66"/>
  <c r="T66"/>
  <c r="P66"/>
  <c r="L66"/>
  <c r="S66"/>
  <c r="O66"/>
  <c r="K66"/>
  <c r="U20"/>
  <c r="Q20"/>
  <c r="S20"/>
  <c r="O20"/>
  <c r="U18"/>
  <c r="Q18"/>
  <c r="S18"/>
  <c r="O18"/>
  <c r="U15"/>
  <c r="Q15"/>
  <c r="S15"/>
  <c r="O15"/>
  <c r="K45"/>
  <c r="K20"/>
  <c r="K18"/>
  <c r="K15"/>
  <c r="M20"/>
  <c r="M18"/>
  <c r="M15"/>
  <c r="O45"/>
  <c r="U58" l="1"/>
  <c r="Q58"/>
  <c r="M58"/>
  <c r="S58"/>
  <c r="O58"/>
  <c r="K58"/>
  <c r="K70"/>
  <c r="M70"/>
  <c r="O70"/>
  <c r="Q70"/>
  <c r="K40"/>
  <c r="M40"/>
  <c r="O40"/>
  <c r="Q40"/>
  <c r="K21"/>
  <c r="M21"/>
  <c r="O21"/>
  <c r="Q21"/>
  <c r="K11"/>
  <c r="M11"/>
  <c r="O11"/>
  <c r="Q11"/>
  <c r="K26"/>
  <c r="M26"/>
  <c r="O26"/>
  <c r="Q26"/>
  <c r="G36"/>
  <c r="I36"/>
  <c r="J36"/>
  <c r="L36"/>
  <c r="N36"/>
  <c r="P36"/>
  <c r="K27"/>
  <c r="M27"/>
  <c r="O27"/>
  <c r="Q27"/>
  <c r="U28"/>
  <c r="Q28"/>
  <c r="Q25"/>
  <c r="U25"/>
  <c r="O31"/>
  <c r="Q31"/>
  <c r="S31"/>
  <c r="U31"/>
  <c r="N32"/>
  <c r="O32"/>
  <c r="P32"/>
  <c r="Q32"/>
  <c r="R32"/>
  <c r="S32"/>
  <c r="T32"/>
  <c r="U32"/>
  <c r="N33"/>
  <c r="O33"/>
  <c r="P33"/>
  <c r="Q33"/>
  <c r="R33"/>
  <c r="S33"/>
  <c r="T33"/>
  <c r="U33"/>
  <c r="O42"/>
  <c r="Q42"/>
  <c r="S42"/>
  <c r="U42"/>
  <c r="K50"/>
  <c r="M50"/>
  <c r="J51"/>
  <c r="K51"/>
  <c r="L51"/>
  <c r="M51"/>
  <c r="N51"/>
  <c r="O51"/>
  <c r="P51"/>
  <c r="Q51"/>
  <c r="K52"/>
  <c r="M52"/>
  <c r="O52"/>
  <c r="Q52"/>
  <c r="J53"/>
  <c r="K53"/>
  <c r="M53"/>
  <c r="N53"/>
  <c r="O53"/>
  <c r="P53"/>
  <c r="Q53"/>
  <c r="O50"/>
  <c r="Q50"/>
  <c r="K56"/>
  <c r="M56"/>
  <c r="O56"/>
  <c r="Q56"/>
  <c r="J57"/>
  <c r="K57"/>
  <c r="L57"/>
  <c r="M57"/>
  <c r="N57"/>
  <c r="O57"/>
  <c r="P57"/>
  <c r="Q57"/>
  <c r="J68"/>
  <c r="K68"/>
  <c r="L68"/>
  <c r="M68"/>
  <c r="N68"/>
  <c r="O68"/>
  <c r="P68"/>
  <c r="Q68"/>
  <c r="J69"/>
  <c r="K69"/>
  <c r="L69"/>
  <c r="M69"/>
  <c r="N69"/>
  <c r="O69"/>
  <c r="P69"/>
  <c r="Q69"/>
  <c r="U36" l="1"/>
  <c r="Q36"/>
  <c r="M36"/>
  <c r="S36"/>
  <c r="O36"/>
  <c r="K36"/>
</calcChain>
</file>

<file path=xl/sharedStrings.xml><?xml version="1.0" encoding="utf-8"?>
<sst xmlns="http://schemas.openxmlformats.org/spreadsheetml/2006/main" count="215" uniqueCount="122">
  <si>
    <t>Сок березово-яблочный с сахаром</t>
  </si>
  <si>
    <t>Нектар морковный с/м</t>
  </si>
  <si>
    <t>8\84</t>
  </si>
  <si>
    <t>4\48</t>
  </si>
  <si>
    <t>6\75</t>
  </si>
  <si>
    <t>8\180</t>
  </si>
  <si>
    <t>Наименование продукции</t>
  </si>
  <si>
    <t>вид упаковки</t>
  </si>
  <si>
    <t>вес гр.</t>
  </si>
  <si>
    <t xml:space="preserve"> в уп.</t>
  </si>
  <si>
    <t>Нектары и напитки</t>
  </si>
  <si>
    <t>Повидло</t>
  </si>
  <si>
    <t>Томатные соусы и кетчупы</t>
  </si>
  <si>
    <t>Первообеденные блюда</t>
  </si>
  <si>
    <t>ПРАЙС-ЛИСТ</t>
  </si>
  <si>
    <t>Повидло яблочно-сливовое</t>
  </si>
  <si>
    <t>Нектар тыквенный</t>
  </si>
  <si>
    <t xml:space="preserve">Нектар сливовый </t>
  </si>
  <si>
    <t>Щи из свежей капусты</t>
  </si>
  <si>
    <t xml:space="preserve">Цена без НДС ФСО </t>
  </si>
  <si>
    <t>Цена с НДС ФСО</t>
  </si>
  <si>
    <t>Цена без НДС ФСН</t>
  </si>
  <si>
    <t xml:space="preserve">Цена с НДС ФСН </t>
  </si>
  <si>
    <t>Повидло яблочно-клюквенное</t>
  </si>
  <si>
    <t>Щи из квашеной капусты</t>
  </si>
  <si>
    <t xml:space="preserve"> </t>
  </si>
  <si>
    <r>
      <t>Частное торговое унитарное предприятие</t>
    </r>
    <r>
      <rPr>
        <sz val="12"/>
        <color indexed="8"/>
        <rFont val="Times New Roman"/>
        <family val="1"/>
        <charset val="204"/>
      </rPr>
      <t xml:space="preserve"> </t>
    </r>
  </si>
  <si>
    <t xml:space="preserve">             Закусочные</t>
  </si>
  <si>
    <t>Соки</t>
  </si>
  <si>
    <t>курс рубля</t>
  </si>
  <si>
    <t>курс долл</t>
  </si>
  <si>
    <t>курс евро</t>
  </si>
  <si>
    <t xml:space="preserve">белоруские рубли </t>
  </si>
  <si>
    <t>российсий рубль</t>
  </si>
  <si>
    <t>Доллар США</t>
  </si>
  <si>
    <t>EUR  Евро</t>
  </si>
  <si>
    <t xml:space="preserve">Холодник </t>
  </si>
  <si>
    <t xml:space="preserve">Сок березовый с сахаром </t>
  </si>
  <si>
    <t>Цена без НДС со склада предприятия</t>
  </si>
  <si>
    <t>Нектар тыквенно-апельсиновый с\м</t>
  </si>
  <si>
    <t xml:space="preserve">* За пределы Республики Беларусь товар отгружается без НДС;                                                                                                                                                            </t>
  </si>
  <si>
    <t>Нектар черносмородиновый с/с с/м</t>
  </si>
  <si>
    <t>* Полное документальное сопровождение сделок.</t>
  </si>
  <si>
    <t>Нектар яблочно-сливовый с/м</t>
  </si>
  <si>
    <t>Нектар сливовый с/м</t>
  </si>
  <si>
    <t>Сок томатный с/м с солью</t>
  </si>
  <si>
    <t xml:space="preserve">Нектар черносмородиновый с/м  </t>
  </si>
  <si>
    <t>стеклобанка СКО I-82-3000   4810677001127</t>
  </si>
  <si>
    <t>стеклобанка СКО I-82-3000  4810677011447</t>
  </si>
  <si>
    <t>Сок березовый с сахаром</t>
  </si>
  <si>
    <t>Нектар яблочно-клюквенный с/м</t>
  </si>
  <si>
    <t>Повидло яблочное</t>
  </si>
  <si>
    <t>Нектар яблочно-черноплодно-               рябиновый с/м</t>
  </si>
  <si>
    <t>Нектар яблочно-черносмо-                    родиновый с/м</t>
  </si>
  <si>
    <t>Пюре яблочно-черносморо-                       диновое (без сахара)</t>
  </si>
  <si>
    <t>Пюре яблочно-черноплодно-                  рябиновое (без сахара)</t>
  </si>
  <si>
    <t>Пюре яблочно-клюквенное                              (без сахара)</t>
  </si>
  <si>
    <t>Икра из свежих овощей</t>
  </si>
  <si>
    <t xml:space="preserve">Икра "из кабачков" </t>
  </si>
  <si>
    <t>Свекла маринованная                             "Белорусская" нарезанная</t>
  </si>
  <si>
    <t>Огурцы маринованные                        "Классические"</t>
  </si>
  <si>
    <t xml:space="preserve">Срок годности 2 года.
Состав: сок березовый натуральный, сахар, лимонная кислота.
</t>
  </si>
  <si>
    <t>Срок годности 2 года.
Состав: пюре-полуфабрикат из тыквы, сахар, лимонная кислота, вода питьевая подготовленная.</t>
  </si>
  <si>
    <t>Срок годности 2 года.
Состав: пюре-полуфабрикат из тыквы, сок апельсиновый концентрированный, сахар, вода питьевая подготовленная.</t>
  </si>
  <si>
    <t>Срок годности 2 года.
Состав: пюре-полуфабрикат из моркови, сахар, лимонная кислота, вода питьевая подготовленная.</t>
  </si>
  <si>
    <t>Срок годности 2 года.
Состав: пюре-полуфабрикат из яблок, пюре-полуфабрикат из сливы, сахар, вода питьевая подготовленная.</t>
  </si>
  <si>
    <t>Срок годности 2 года.
Состав: пюре-полуфабрикат из сливы, сахар, вода питьевая подготовленная.</t>
  </si>
  <si>
    <t>Срок годности 2 года.
Состав: пюре черносмородиновое, сахар, вода питьевая подготовленная.</t>
  </si>
  <si>
    <t>Срок годности 2 года.
Состав: пюре-полуфабрикат из яблок, пюре-полуфабрикат из черноплодной рябины, сахар, вода питьевая подготовленная.</t>
  </si>
  <si>
    <t>Срок годности 2 года.
Состав: пюре яблое, пюре черносмородиновое, сахар, вода питьевая подготовленная.</t>
  </si>
  <si>
    <t>Срок годности 2 года.
Состав: пюре-полуфабрикат из моркови, сок апельсиновый концентрированный, сахар, вода питьевая подготовленная.</t>
  </si>
  <si>
    <t>Срок годности 2 года.
Состав: пюре яблочное, пюр черносмородиновое, сахар, вода питьевая подготовленная.</t>
  </si>
  <si>
    <t>Срок годности 2 года.
Состав: пюре-полуфабрикат из яблок, сахар.</t>
  </si>
  <si>
    <t>Срок годности 2 года.
Состав: пюре-полуфабрикат из яблок, пюре-полуфабрикат из клюквы, сахар.</t>
  </si>
  <si>
    <t>Срок годности 2 года.
Состав: пюре-полуфабрикат из яблок, пюре-полуфабрикат из рябины черноплодной.</t>
  </si>
  <si>
    <t>Срок годности 2 года.
Состав: пюре-полуфабрикат из яблок, пюре-полуфабрикат из клюквы.</t>
  </si>
  <si>
    <t>Срок годности 2 года.
Изготовлено из пасты томатной концентрированной.</t>
  </si>
  <si>
    <t>Срок годности 3 года.
Состав: пюре-полуфабрикат из тыквы, пюре полуфабрикат из моркови, лимонная кислота, лук репчятый, томатная паста, соль, перец черный, масло растительное, мука.</t>
  </si>
  <si>
    <t>Срок годности 3 года.
Состав: пюре-полуфабрикат из кабачков, пюре полуфабрикат из моркови, лимонная кислота, пюре-полуфабрикат из яблок, лук репчятый, томатная паста, соль, перец черный, масло растительное, мука.</t>
  </si>
  <si>
    <t>Срок годности 2 года.
Состав: капуста квашенная, морковвь, лук репчятый, масло подсолнечное, томатная паста, соль, сахар, перец черный, лист лавровый, вода питьевая.</t>
  </si>
  <si>
    <t>Срок годности 2 года.
Состав: капуста белокачанная свежая, морковь, лук репчятый, масло подсолнечное, томатная паста, соль, перец черный, лист лавровый, вода питьевая.</t>
  </si>
  <si>
    <t xml:space="preserve">Срок годности 3 года.
Состав: свекла столовая свежая, пюре-полуфабрикат из свеклы, лимонная кислота, уксус спиртовой 9 % из пищевого сырья, соль, сахар, вода питьевая. </t>
  </si>
  <si>
    <t>Срок годности 2 года.
Состав: свекла столовая свежая, вода питьевая, соль, сахар, лимонная кислота.</t>
  </si>
  <si>
    <t>Срок годности 2 года.
Состав: огурцы свежие, вода питьевая, сахар, соль, лимонная кислота (уксус спиртовой 9 % из пищевого сырья), семена укропа, чеснок, кориандр, лист лавровый.</t>
  </si>
  <si>
    <t>Икра из кабачков "Экстра"</t>
  </si>
  <si>
    <t>Срок годности 3 года.
Состав: пюре-полуфабрикат из кабачков, лимонная кислота, аскорбиновая кислота, лук репчятый, томатная паста, соль, перец черный, масло подсолнечное, мука.</t>
  </si>
  <si>
    <t xml:space="preserve">                                       ОАО «ГРОДНЕНСКИЙ КОНСЕРВНЫЙ ЗАВОД"           </t>
  </si>
  <si>
    <t>Нектар яблочный с/м</t>
  </si>
  <si>
    <t>Срок годности 2 года.
Состав: пюре-полуфабрикат из яблок, сахар, вода питьевая подготовленная.</t>
  </si>
  <si>
    <t>Солянка из свежей капусты</t>
  </si>
  <si>
    <t>Срок годности 3 года.
Состав: капуста свежая, огурцы соленые, масло подсолнечное, лук свежий репчатый, томатная паста, соль, перец черный, лимонная кислота.</t>
  </si>
  <si>
    <t>Соус томатный "Минский                          домашний"</t>
  </si>
  <si>
    <t>Срок годности 2 года.
Состав: вода питьевая, томатная паста, соль, лимонная кислота, лист лавровый, перец черный.</t>
  </si>
  <si>
    <t>Срок годности 2 года.                                                   Состав: сок березовый натуральный, сок яблочный восстановленный, сахар, лимонная кислота.</t>
  </si>
  <si>
    <t>Срок годности 2 года.                                                   Состав: томатная паста 36%, соль поваренная пищевая йодированная, вода питьевая подготовленная.</t>
  </si>
  <si>
    <t>Овощное ассорти (горошек,                  морковь,лук)</t>
  </si>
  <si>
    <t>Срок годности 2 года.
Состав: горошек зеленый консервированный, морковь свежая, вода питьевая, лук, уксус, соль, перец черный.</t>
  </si>
  <si>
    <t>Морковь гарнирная</t>
  </si>
  <si>
    <t>Срок годности 2 года.
Состав: морковь свежая нарезанная, вода, сахар, соль, лимонная кислота.</t>
  </si>
  <si>
    <t>Борщ</t>
  </si>
  <si>
    <t>Нектар яблочно-черноплодно-                  рябиновый с/м</t>
  </si>
  <si>
    <t>Нектар тыквенно-апельсиновый                       с/м</t>
  </si>
  <si>
    <t>Нектар морковно-апельсиновый                       с/м</t>
  </si>
  <si>
    <t>* Условия оплаты: предооплата 100 %, страхование сделки либо открытие аккредитива. Для постоянных покупателей возможна отсрочка платежа;</t>
  </si>
  <si>
    <t>price, FCA g. Grodno</t>
  </si>
  <si>
    <t>Рассольник</t>
  </si>
  <si>
    <t>Срок годности 2 года.
Состав: огурцы соленые, крупа перловая, рассол огуречный, морковь свежая, лук свежий, масло подсолнечное, томатная паста, соль, перец черный, лист лавровый.</t>
  </si>
  <si>
    <t>Свекольник</t>
  </si>
  <si>
    <t>Срок годности 3 года.
Состав: свекла столовая свежая, морковь столовая свежая, лук, томатная паста, масло подсолнечное, соль, сахар, лимонная кислота, перец черный, лист лавровый, вода питьевая.</t>
  </si>
  <si>
    <t>Срок годности 3 года.
Состав: свекла свежая, капуста свежая, морковь свежая, лук, томатная паста, масло подсолнечное, соль, сахар, лимонная кислота, ченок сушеный, перец черный, вода питьевая.</t>
  </si>
  <si>
    <t xml:space="preserve">Срок годности 2 года.
</t>
  </si>
  <si>
    <t>Сок березовый "Бодрость"</t>
  </si>
  <si>
    <t>Нектар яблочно-черносмо-                        родиновый</t>
  </si>
  <si>
    <t>Паста томатная консервиро-                             ванная несоленая 25%</t>
  </si>
  <si>
    <t>Паста томатная консервированная                   несоленая 25%</t>
  </si>
  <si>
    <t>Срок годности 2 года.</t>
  </si>
  <si>
    <t xml:space="preserve">Горошек зеленый                               консервированный в/с </t>
  </si>
  <si>
    <t xml:space="preserve">Срок годности 2 года.
Состав: горошек зеленый свежий, вода питьевая, сахар, соль поваренная пищевая йодированная.
</t>
  </si>
  <si>
    <r>
      <t xml:space="preserve">Адрес: 230001 г.Гродно, ул.Кстинская, 1
Р/счет: 3012200570011 в ОУ ОАО «Белагропромбанк» г.Гродно, код 457 УНН 500030368, ОКПО 00391905, </t>
    </r>
    <r>
      <rPr>
        <sz val="16"/>
        <rFont val="Times New Roman"/>
        <family val="1"/>
        <charset val="204"/>
      </rPr>
      <t>тел: 8-10375-152</t>
    </r>
    <r>
      <rPr>
        <sz val="12"/>
        <rFont val="Times New Roman"/>
        <family val="1"/>
        <charset val="204"/>
      </rPr>
      <t xml:space="preserve">;            тел.(80152) 52-01-99, факс (80152) 52-45-16                                                                                                                           </t>
    </r>
    <r>
      <rPr>
        <i/>
        <sz val="12"/>
        <rFont val="Times New Roman"/>
        <family val="1"/>
        <charset val="204"/>
      </rPr>
      <t>наш сайт: www.fruktoff.com  е-mail: fruktoff@mail.ru</t>
    </r>
  </si>
  <si>
    <t xml:space="preserve">Горошек зеленый                               консервированный с/с </t>
  </si>
  <si>
    <t xml:space="preserve">Горошек зеленый                               консервированный 1/с </t>
  </si>
  <si>
    <t>прайс на 28.09.2016 по курсу НБ РБ</t>
  </si>
</sst>
</file>

<file path=xl/styles.xml><?xml version="1.0" encoding="utf-8"?>
<styleSheet xmlns="http://schemas.openxmlformats.org/spreadsheetml/2006/main">
  <numFmts count="3">
    <numFmt numFmtId="164" formatCode="#,##0_р_."/>
    <numFmt numFmtId="165" formatCode="#,##0.0000"/>
    <numFmt numFmtId="166" formatCode="#,##0.00_р_."/>
  </numFmts>
  <fonts count="16">
    <font>
      <sz val="10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Arial Cyr"/>
      <charset val="204"/>
    </font>
    <font>
      <sz val="10"/>
      <color theme="0"/>
      <name val="Arial Cyr"/>
      <charset val="204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NumberFormat="1" applyBorder="1"/>
    <xf numFmtId="0" fontId="0" fillId="0" borderId="0" xfId="0" applyNumberFormat="1" applyBorder="1" applyAlignment="1">
      <alignment horizontal="center" vertical="center"/>
    </xf>
    <xf numFmtId="0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10" fillId="0" borderId="0" xfId="0" applyFont="1"/>
    <xf numFmtId="0" fontId="7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/>
    </xf>
    <xf numFmtId="0" fontId="7" fillId="0" borderId="0" xfId="0" applyFont="1"/>
    <xf numFmtId="0" fontId="0" fillId="3" borderId="0" xfId="0" applyNumberFormat="1" applyFont="1" applyFill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left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NumberFormat="1" applyFont="1" applyFill="1" applyBorder="1" applyAlignment="1">
      <alignment horizontal="left" vertical="center" wrapText="1"/>
    </xf>
    <xf numFmtId="164" fontId="2" fillId="5" borderId="1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 wrapText="1"/>
    </xf>
    <xf numFmtId="0" fontId="0" fillId="6" borderId="0" xfId="0" applyNumberFormat="1" applyFill="1" applyAlignment="1">
      <alignment horizontal="center"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14" fontId="2" fillId="0" borderId="0" xfId="0" applyNumberFormat="1" applyFont="1"/>
    <xf numFmtId="0" fontId="11" fillId="0" borderId="0" xfId="0" applyNumberFormat="1" applyFont="1" applyBorder="1" applyAlignment="1">
      <alignment horizontal="left" vertical="center" wrapText="1"/>
    </xf>
    <xf numFmtId="0" fontId="0" fillId="0" borderId="0" xfId="0" applyNumberFormat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/>
    </xf>
    <xf numFmtId="2" fontId="0" fillId="8" borderId="1" xfId="0" applyNumberForma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/>
    <xf numFmtId="0" fontId="2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/>
    </xf>
    <xf numFmtId="0" fontId="11" fillId="0" borderId="0" xfId="0" applyNumberFormat="1" applyFont="1" applyBorder="1" applyAlignment="1">
      <alignment horizontal="center" vertical="center"/>
    </xf>
    <xf numFmtId="0" fontId="0" fillId="4" borderId="0" xfId="0" applyNumberFormat="1" applyFill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12" fillId="4" borderId="0" xfId="0" applyNumberFormat="1" applyFont="1" applyFill="1" applyAlignment="1">
      <alignment horizontal="center" vertical="center" wrapText="1"/>
    </xf>
    <xf numFmtId="3" fontId="12" fillId="4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0" fontId="0" fillId="4" borderId="0" xfId="0" applyNumberFormat="1" applyFill="1" applyBorder="1"/>
    <xf numFmtId="0" fontId="0" fillId="4" borderId="0" xfId="0" applyNumberFormat="1" applyFill="1"/>
    <xf numFmtId="0" fontId="7" fillId="4" borderId="0" xfId="0" applyNumberFormat="1" applyFont="1" applyFill="1" applyAlignment="1">
      <alignment horizontal="center" vertical="center"/>
    </xf>
    <xf numFmtId="2" fontId="0" fillId="4" borderId="0" xfId="0" applyNumberFormat="1" applyFill="1" applyBorder="1"/>
    <xf numFmtId="0" fontId="5" fillId="0" borderId="0" xfId="0" applyNumberFormat="1" applyFont="1" applyBorder="1" applyAlignment="1">
      <alignment horizontal="center"/>
    </xf>
    <xf numFmtId="0" fontId="2" fillId="0" borderId="0" xfId="0" applyFont="1" applyBorder="1" applyAlignment="1"/>
    <xf numFmtId="0" fontId="4" fillId="0" borderId="0" xfId="0" applyFont="1" applyBorder="1" applyAlignment="1"/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4" borderId="0" xfId="0" applyNumberFormat="1" applyFill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left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2" fillId="4" borderId="9" xfId="0" applyNumberFormat="1" applyFont="1" applyFill="1" applyBorder="1" applyAlignment="1">
      <alignment horizontal="left" vertical="center" wrapText="1"/>
    </xf>
    <xf numFmtId="0" fontId="2" fillId="4" borderId="13" xfId="0" applyNumberFormat="1" applyFont="1" applyFill="1" applyBorder="1" applyAlignment="1">
      <alignment horizontal="left" vertical="center" wrapText="1"/>
    </xf>
    <xf numFmtId="0" fontId="2" fillId="4" borderId="14" xfId="0" applyNumberFormat="1" applyFont="1" applyFill="1" applyBorder="1" applyAlignment="1">
      <alignment horizontal="left" vertical="center" wrapText="1"/>
    </xf>
    <xf numFmtId="0" fontId="2" fillId="4" borderId="14" xfId="0" applyNumberFormat="1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0" fillId="4" borderId="0" xfId="0" applyNumberFormat="1" applyFont="1" applyFill="1" applyBorder="1"/>
    <xf numFmtId="0" fontId="0" fillId="4" borderId="0" xfId="0" applyNumberFormat="1" applyFont="1" applyFill="1"/>
    <xf numFmtId="0" fontId="2" fillId="4" borderId="11" xfId="0" applyNumberFormat="1" applyFont="1" applyFill="1" applyBorder="1" applyAlignment="1">
      <alignment horizontal="center" vertical="center" wrapText="1"/>
    </xf>
    <xf numFmtId="0" fontId="2" fillId="4" borderId="15" xfId="0" applyNumberFormat="1" applyFont="1" applyFill="1" applyBorder="1" applyAlignment="1">
      <alignment horizontal="left" vertical="center" wrapText="1"/>
    </xf>
    <xf numFmtId="49" fontId="2" fillId="4" borderId="9" xfId="0" applyNumberFormat="1" applyFont="1" applyFill="1" applyBorder="1" applyAlignment="1">
      <alignment horizontal="left" vertical="center" wrapText="1"/>
    </xf>
    <xf numFmtId="0" fontId="2" fillId="4" borderId="0" xfId="0" applyNumberFormat="1" applyFont="1" applyFill="1" applyBorder="1" applyAlignment="1">
      <alignment horizontal="left" vertical="center" wrapText="1"/>
    </xf>
    <xf numFmtId="0" fontId="2" fillId="4" borderId="16" xfId="0" applyNumberFormat="1" applyFont="1" applyFill="1" applyBorder="1" applyAlignment="1">
      <alignment horizontal="left" vertical="center" wrapText="1"/>
    </xf>
    <xf numFmtId="164" fontId="2" fillId="4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center" vertical="center"/>
    </xf>
    <xf numFmtId="165" fontId="0" fillId="8" borderId="0" xfId="0" applyNumberFormat="1" applyFont="1" applyFill="1" applyAlignment="1">
      <alignment horizontal="center" vertical="center" wrapText="1"/>
    </xf>
    <xf numFmtId="166" fontId="2" fillId="5" borderId="1" xfId="0" applyNumberFormat="1" applyFont="1" applyFill="1" applyBorder="1" applyAlignment="1">
      <alignment horizontal="center" vertical="center" wrapText="1"/>
    </xf>
    <xf numFmtId="166" fontId="2" fillId="4" borderId="1" xfId="0" applyNumberFormat="1" applyFont="1" applyFill="1" applyBorder="1" applyAlignment="1">
      <alignment horizontal="center" vertical="center" wrapText="1"/>
    </xf>
    <xf numFmtId="166" fontId="2" fillId="5" borderId="1" xfId="0" applyNumberFormat="1" applyFont="1" applyFill="1" applyBorder="1" applyAlignment="1">
      <alignment horizontal="center" vertical="center"/>
    </xf>
    <xf numFmtId="166" fontId="2" fillId="4" borderId="1" xfId="0" applyNumberFormat="1" applyFont="1" applyFill="1" applyBorder="1" applyAlignment="1">
      <alignment horizontal="center" vertical="center"/>
    </xf>
    <xf numFmtId="166" fontId="2" fillId="5" borderId="14" xfId="0" applyNumberFormat="1" applyFont="1" applyFill="1" applyBorder="1" applyAlignment="1">
      <alignment horizontal="center" vertical="center" wrapText="1"/>
    </xf>
    <xf numFmtId="166" fontId="2" fillId="4" borderId="14" xfId="0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166" fontId="2" fillId="5" borderId="1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left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left" wrapText="1"/>
    </xf>
    <xf numFmtId="0" fontId="3" fillId="0" borderId="0" xfId="0" applyNumberFormat="1" applyFont="1" applyBorder="1" applyAlignment="1">
      <alignment horizontal="left" vertical="center" wrapText="1"/>
    </xf>
    <xf numFmtId="0" fontId="8" fillId="4" borderId="10" xfId="0" applyNumberFormat="1" applyFont="1" applyFill="1" applyBorder="1" applyAlignment="1">
      <alignment horizontal="center" vertical="center" wrapText="1"/>
    </xf>
    <xf numFmtId="0" fontId="13" fillId="4" borderId="11" xfId="0" applyNumberFormat="1" applyFont="1" applyFill="1" applyBorder="1" applyAlignment="1">
      <alignment horizontal="center" vertical="center" wrapText="1"/>
    </xf>
    <xf numFmtId="0" fontId="13" fillId="4" borderId="12" xfId="0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/>
    <xf numFmtId="0" fontId="5" fillId="0" borderId="0" xfId="0" applyNumberFormat="1" applyFont="1" applyBorder="1" applyAlignment="1">
      <alignment horizontal="center" wrapText="1"/>
    </xf>
    <xf numFmtId="0" fontId="4" fillId="0" borderId="0" xfId="0" applyNumberFormat="1" applyFont="1" applyAlignment="1">
      <alignment horizontal="left" vertical="center" wrapText="1"/>
    </xf>
    <xf numFmtId="0" fontId="7" fillId="0" borderId="0" xfId="0" applyFont="1"/>
    <xf numFmtId="0" fontId="0" fillId="0" borderId="1" xfId="0" applyBorder="1" applyAlignment="1"/>
    <xf numFmtId="0" fontId="8" fillId="0" borderId="10" xfId="0" applyNumberFormat="1" applyFont="1" applyFill="1" applyBorder="1" applyAlignment="1">
      <alignment horizontal="center" vertical="center" wrapText="1"/>
    </xf>
    <xf numFmtId="0" fontId="8" fillId="0" borderId="11" xfId="0" applyNumberFormat="1" applyFont="1" applyFill="1" applyBorder="1" applyAlignment="1">
      <alignment horizontal="center" vertical="center" wrapText="1"/>
    </xf>
    <xf numFmtId="0" fontId="8" fillId="0" borderId="12" xfId="0" applyNumberFormat="1" applyFont="1" applyFill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563656</xdr:colOff>
      <xdr:row>0</xdr:row>
      <xdr:rowOff>265579</xdr:rowOff>
    </xdr:from>
    <xdr:to>
      <xdr:col>1</xdr:col>
      <xdr:colOff>2078131</xdr:colOff>
      <xdr:row>3</xdr:row>
      <xdr:rowOff>212911</xdr:rowOff>
    </xdr:to>
    <xdr:pic>
      <xdr:nvPicPr>
        <xdr:cNvPr id="1485" name="Рисунок 1" descr="Фруктов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4862" y="265579"/>
          <a:ext cx="1514475" cy="9222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2095502</xdr:colOff>
      <xdr:row>12</xdr:row>
      <xdr:rowOff>1143001</xdr:rowOff>
    </xdr:from>
    <xdr:to>
      <xdr:col>2</xdr:col>
      <xdr:colOff>27215</xdr:colOff>
      <xdr:row>15</xdr:row>
      <xdr:rowOff>27213</xdr:rowOff>
    </xdr:to>
    <xdr:pic>
      <xdr:nvPicPr>
        <xdr:cNvPr id="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09109" y="3605894"/>
          <a:ext cx="911677" cy="10885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2109106</xdr:colOff>
      <xdr:row>21</xdr:row>
      <xdr:rowOff>13607</xdr:rowOff>
    </xdr:from>
    <xdr:to>
      <xdr:col>1</xdr:col>
      <xdr:colOff>2969033</xdr:colOff>
      <xdr:row>25</xdr:row>
      <xdr:rowOff>37154</xdr:rowOff>
    </xdr:to>
    <xdr:pic>
      <xdr:nvPicPr>
        <xdr:cNvPr id="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 flipH="1">
          <a:off x="2122713" y="11443607"/>
          <a:ext cx="859927" cy="11529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2095500</xdr:colOff>
      <xdr:row>25</xdr:row>
      <xdr:rowOff>13607</xdr:rowOff>
    </xdr:from>
    <xdr:to>
      <xdr:col>2</xdr:col>
      <xdr:colOff>167</xdr:colOff>
      <xdr:row>25</xdr:row>
      <xdr:rowOff>1068640</xdr:rowOff>
    </xdr:to>
    <xdr:pic>
      <xdr:nvPicPr>
        <xdr:cNvPr id="1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 flipH="1">
          <a:off x="2109107" y="15933964"/>
          <a:ext cx="884631" cy="105503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2081893</xdr:colOff>
      <xdr:row>25</xdr:row>
      <xdr:rowOff>1074965</xdr:rowOff>
    </xdr:from>
    <xdr:to>
      <xdr:col>1</xdr:col>
      <xdr:colOff>2967118</xdr:colOff>
      <xdr:row>27</xdr:row>
      <xdr:rowOff>195</xdr:rowOff>
    </xdr:to>
    <xdr:pic>
      <xdr:nvPicPr>
        <xdr:cNvPr id="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 flipH="1">
          <a:off x="2095500" y="16995322"/>
          <a:ext cx="885225" cy="108752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2081893</xdr:colOff>
      <xdr:row>27</xdr:row>
      <xdr:rowOff>0</xdr:rowOff>
    </xdr:from>
    <xdr:to>
      <xdr:col>1</xdr:col>
      <xdr:colOff>2967118</xdr:colOff>
      <xdr:row>28</xdr:row>
      <xdr:rowOff>0</xdr:rowOff>
    </xdr:to>
    <xdr:pic>
      <xdr:nvPicPr>
        <xdr:cNvPr id="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 flipH="1">
          <a:off x="2095500" y="18083893"/>
          <a:ext cx="885225" cy="108752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2061883</xdr:colOff>
      <xdr:row>32</xdr:row>
      <xdr:rowOff>13607</xdr:rowOff>
    </xdr:from>
    <xdr:to>
      <xdr:col>1</xdr:col>
      <xdr:colOff>2976049</xdr:colOff>
      <xdr:row>33</xdr:row>
      <xdr:rowOff>7681</xdr:rowOff>
    </xdr:to>
    <xdr:pic>
      <xdr:nvPicPr>
        <xdr:cNvPr id="2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073089" y="23478725"/>
          <a:ext cx="914166" cy="108104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2061882</xdr:colOff>
      <xdr:row>33</xdr:row>
      <xdr:rowOff>13607</xdr:rowOff>
    </xdr:from>
    <xdr:to>
      <xdr:col>2</xdr:col>
      <xdr:colOff>3227</xdr:colOff>
      <xdr:row>33</xdr:row>
      <xdr:rowOff>1126348</xdr:rowOff>
    </xdr:to>
    <xdr:pic>
      <xdr:nvPicPr>
        <xdr:cNvPr id="2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73088" y="24565695"/>
          <a:ext cx="922110" cy="111274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2054679</xdr:colOff>
      <xdr:row>33</xdr:row>
      <xdr:rowOff>1129393</xdr:rowOff>
    </xdr:from>
    <xdr:to>
      <xdr:col>1</xdr:col>
      <xdr:colOff>2961747</xdr:colOff>
      <xdr:row>35</xdr:row>
      <xdr:rowOff>0</xdr:rowOff>
    </xdr:to>
    <xdr:pic>
      <xdr:nvPicPr>
        <xdr:cNvPr id="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068286" y="25731107"/>
          <a:ext cx="907068" cy="102053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2054678</xdr:colOff>
      <xdr:row>55</xdr:row>
      <xdr:rowOff>13607</xdr:rowOff>
    </xdr:from>
    <xdr:to>
      <xdr:col>2</xdr:col>
      <xdr:colOff>2038</xdr:colOff>
      <xdr:row>55</xdr:row>
      <xdr:rowOff>1053353</xdr:rowOff>
    </xdr:to>
    <xdr:pic>
      <xdr:nvPicPr>
        <xdr:cNvPr id="3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65884" y="41755519"/>
          <a:ext cx="923923" cy="103974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2041072</xdr:colOff>
      <xdr:row>55</xdr:row>
      <xdr:rowOff>1047750</xdr:rowOff>
    </xdr:from>
    <xdr:to>
      <xdr:col>1</xdr:col>
      <xdr:colOff>2974519</xdr:colOff>
      <xdr:row>57</xdr:row>
      <xdr:rowOff>1360</xdr:rowOff>
    </xdr:to>
    <xdr:pic>
      <xdr:nvPicPr>
        <xdr:cNvPr id="36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054679" y="39120536"/>
          <a:ext cx="933447" cy="10763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2041072</xdr:colOff>
      <xdr:row>65</xdr:row>
      <xdr:rowOff>0</xdr:rowOff>
    </xdr:from>
    <xdr:to>
      <xdr:col>1</xdr:col>
      <xdr:colOff>2974519</xdr:colOff>
      <xdr:row>66</xdr:row>
      <xdr:rowOff>101893</xdr:rowOff>
    </xdr:to>
    <xdr:pic>
      <xdr:nvPicPr>
        <xdr:cNvPr id="37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054679" y="40481250"/>
          <a:ext cx="933447" cy="11144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2013857</xdr:colOff>
      <xdr:row>66</xdr:row>
      <xdr:rowOff>13607</xdr:rowOff>
    </xdr:from>
    <xdr:to>
      <xdr:col>2</xdr:col>
      <xdr:colOff>8160</xdr:colOff>
      <xdr:row>67</xdr:row>
      <xdr:rowOff>54427</xdr:rowOff>
    </xdr:to>
    <xdr:pic>
      <xdr:nvPicPr>
        <xdr:cNvPr id="38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027464" y="41597036"/>
          <a:ext cx="974267" cy="112939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2027464</xdr:colOff>
      <xdr:row>67</xdr:row>
      <xdr:rowOff>13607</xdr:rowOff>
    </xdr:from>
    <xdr:to>
      <xdr:col>2</xdr:col>
      <xdr:colOff>9522</xdr:colOff>
      <xdr:row>68</xdr:row>
      <xdr:rowOff>0</xdr:rowOff>
    </xdr:to>
    <xdr:pic>
      <xdr:nvPicPr>
        <xdr:cNvPr id="39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041071" y="42685607"/>
          <a:ext cx="962022" cy="10477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2013857</xdr:colOff>
      <xdr:row>69</xdr:row>
      <xdr:rowOff>13607</xdr:rowOff>
    </xdr:from>
    <xdr:to>
      <xdr:col>1</xdr:col>
      <xdr:colOff>2970838</xdr:colOff>
      <xdr:row>70</xdr:row>
      <xdr:rowOff>2960</xdr:rowOff>
    </xdr:to>
    <xdr:pic>
      <xdr:nvPicPr>
        <xdr:cNvPr id="4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2027464" y="44781107"/>
          <a:ext cx="956981" cy="110994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2013859</xdr:colOff>
      <xdr:row>69</xdr:row>
      <xdr:rowOff>1129393</xdr:rowOff>
    </xdr:from>
    <xdr:to>
      <xdr:col>1</xdr:col>
      <xdr:colOff>2966357</xdr:colOff>
      <xdr:row>71</xdr:row>
      <xdr:rowOff>4882</xdr:rowOff>
    </xdr:to>
    <xdr:pic>
      <xdr:nvPicPr>
        <xdr:cNvPr id="42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 flipH="1">
          <a:off x="2027466" y="45896893"/>
          <a:ext cx="952498" cy="10533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2048493</xdr:colOff>
      <xdr:row>56</xdr:row>
      <xdr:rowOff>1053353</xdr:rowOff>
    </xdr:from>
    <xdr:to>
      <xdr:col>2</xdr:col>
      <xdr:colOff>22265</xdr:colOff>
      <xdr:row>57</xdr:row>
      <xdr:rowOff>1058885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2059699" y="43859824"/>
          <a:ext cx="954537" cy="107008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2028265</xdr:colOff>
      <xdr:row>54</xdr:row>
      <xdr:rowOff>22412</xdr:rowOff>
    </xdr:from>
    <xdr:to>
      <xdr:col>1</xdr:col>
      <xdr:colOff>2970677</xdr:colOff>
      <xdr:row>55</xdr:row>
      <xdr:rowOff>33616</xdr:rowOff>
    </xdr:to>
    <xdr:pic>
      <xdr:nvPicPr>
        <xdr:cNvPr id="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039471" y="40699765"/>
          <a:ext cx="942412" cy="107576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2050676</xdr:colOff>
      <xdr:row>59</xdr:row>
      <xdr:rowOff>11209</xdr:rowOff>
    </xdr:from>
    <xdr:to>
      <xdr:col>2</xdr:col>
      <xdr:colOff>21848</xdr:colOff>
      <xdr:row>61</xdr:row>
      <xdr:rowOff>22408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2061882" y="44442533"/>
          <a:ext cx="951937" cy="11205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2057400</xdr:colOff>
      <xdr:row>49</xdr:row>
      <xdr:rowOff>19051</xdr:rowOff>
    </xdr:from>
    <xdr:to>
      <xdr:col>2</xdr:col>
      <xdr:colOff>9523</xdr:colOff>
      <xdr:row>52</xdr:row>
      <xdr:rowOff>19051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2066925" y="31480126"/>
          <a:ext cx="933448" cy="10382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2048493</xdr:colOff>
      <xdr:row>57</xdr:row>
      <xdr:rowOff>1053353</xdr:rowOff>
    </xdr:from>
    <xdr:to>
      <xdr:col>2</xdr:col>
      <xdr:colOff>22265</xdr:colOff>
      <xdr:row>58</xdr:row>
      <xdr:rowOff>1058883</xdr:rowOff>
    </xdr:to>
    <xdr:pic>
      <xdr:nvPicPr>
        <xdr:cNvPr id="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2059699" y="30502412"/>
          <a:ext cx="954537" cy="107008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83"/>
  <sheetViews>
    <sheetView tabSelected="1" zoomScale="70" zoomScaleNormal="70" zoomScaleSheetLayoutView="100" workbookViewId="0">
      <selection activeCell="C2" sqref="C2:G6"/>
    </sheetView>
  </sheetViews>
  <sheetFormatPr defaultColWidth="9.140625" defaultRowHeight="30" customHeight="1"/>
  <cols>
    <col min="1" max="1" width="0.140625" style="1" customWidth="1"/>
    <col min="2" max="2" width="44.7109375" style="24" customWidth="1"/>
    <col min="3" max="3" width="51.140625" style="2" customWidth="1"/>
    <col min="4" max="4" width="7.7109375" style="35" customWidth="1"/>
    <col min="5" max="5" width="16" style="2" customWidth="1"/>
    <col min="6" max="6" width="13.7109375" style="2" hidden="1" customWidth="1"/>
    <col min="7" max="7" width="13.85546875" style="2" hidden="1" customWidth="1"/>
    <col min="8" max="8" width="9.42578125" style="25" hidden="1" customWidth="1"/>
    <col min="9" max="9" width="10.140625" style="31" hidden="1" customWidth="1"/>
    <col min="10" max="10" width="8.42578125" style="36" hidden="1" customWidth="1"/>
    <col min="11" max="11" width="16.28515625" style="25" hidden="1" customWidth="1"/>
    <col min="12" max="12" width="27.42578125" style="36" customWidth="1"/>
    <col min="13" max="13" width="11.85546875" style="25" hidden="1" customWidth="1"/>
    <col min="14" max="14" width="10.85546875" style="25" hidden="1" customWidth="1"/>
    <col min="15" max="15" width="21.5703125" style="25" hidden="1" customWidth="1"/>
    <col min="16" max="16" width="26.28515625" style="36" hidden="1" customWidth="1"/>
    <col min="17" max="17" width="12" style="25" hidden="1" customWidth="1"/>
    <col min="18" max="18" width="10.140625" style="25" hidden="1" customWidth="1"/>
    <col min="19" max="19" width="10" style="25" hidden="1" customWidth="1"/>
    <col min="20" max="20" width="10.42578125" style="36" hidden="1" customWidth="1"/>
    <col min="21" max="21" width="10.5703125" style="25" hidden="1" customWidth="1"/>
    <col min="22" max="16384" width="9.140625" style="3"/>
  </cols>
  <sheetData>
    <row r="1" spans="1:21" ht="21.75" customHeight="1">
      <c r="B1" s="100" t="s">
        <v>86</v>
      </c>
      <c r="C1" s="100"/>
      <c r="D1" s="100"/>
      <c r="E1" s="100"/>
      <c r="F1" s="100"/>
      <c r="G1" s="100"/>
      <c r="H1" s="100"/>
      <c r="I1" s="100"/>
    </row>
    <row r="2" spans="1:21" ht="39.75" customHeight="1">
      <c r="B2" s="21"/>
      <c r="C2" s="101" t="s">
        <v>118</v>
      </c>
      <c r="D2" s="102"/>
      <c r="E2" s="102"/>
      <c r="F2" s="102"/>
      <c r="G2" s="102"/>
      <c r="H2" s="26"/>
      <c r="I2" s="27"/>
      <c r="K2" s="10" t="s">
        <v>29</v>
      </c>
      <c r="L2" s="38" t="s">
        <v>30</v>
      </c>
      <c r="M2" s="10" t="s">
        <v>31</v>
      </c>
    </row>
    <row r="3" spans="1:21" ht="15" customHeight="1">
      <c r="B3" s="22"/>
      <c r="C3" s="102"/>
      <c r="D3" s="102"/>
      <c r="E3" s="102"/>
      <c r="F3" s="102"/>
      <c r="G3" s="102"/>
      <c r="H3" s="26"/>
      <c r="I3" s="27"/>
      <c r="K3" s="20">
        <v>3.0259000000000001E-2</v>
      </c>
      <c r="L3" s="39">
        <v>1.9336</v>
      </c>
      <c r="M3" s="81">
        <v>2.2210000000000001</v>
      </c>
    </row>
    <row r="4" spans="1:21" ht="19.5" customHeight="1">
      <c r="B4" s="22"/>
      <c r="C4" s="102"/>
      <c r="D4" s="102"/>
      <c r="E4" s="102"/>
      <c r="F4" s="102"/>
      <c r="G4" s="102"/>
      <c r="H4" s="26"/>
      <c r="I4" s="27"/>
      <c r="K4" s="111"/>
      <c r="L4" s="111"/>
      <c r="M4" s="111"/>
      <c r="N4" s="111"/>
    </row>
    <row r="5" spans="1:21" ht="30.75" customHeight="1">
      <c r="B5" s="22"/>
      <c r="C5" s="102"/>
      <c r="D5" s="102"/>
      <c r="E5" s="102"/>
      <c r="F5" s="102"/>
      <c r="G5" s="102"/>
      <c r="H5" s="26"/>
      <c r="I5" s="27"/>
    </row>
    <row r="6" spans="1:21" ht="0.75" customHeight="1" thickBot="1">
      <c r="B6" s="22"/>
      <c r="C6" s="102"/>
      <c r="D6" s="102"/>
      <c r="E6" s="102"/>
      <c r="F6" s="102"/>
      <c r="G6" s="102"/>
      <c r="H6" s="26"/>
      <c r="I6" s="27"/>
    </row>
    <row r="7" spans="1:21" ht="13.5" customHeight="1">
      <c r="B7" s="22"/>
      <c r="C7" s="40" t="s">
        <v>121</v>
      </c>
      <c r="D7" s="32"/>
      <c r="E7" s="9"/>
      <c r="F7" s="115" t="s">
        <v>32</v>
      </c>
      <c r="G7" s="116"/>
      <c r="H7" s="116"/>
      <c r="I7" s="117"/>
      <c r="J7" s="107" t="s">
        <v>33</v>
      </c>
      <c r="K7" s="116"/>
      <c r="L7" s="116"/>
      <c r="M7" s="117"/>
      <c r="N7" s="107" t="s">
        <v>34</v>
      </c>
      <c r="O7" s="116"/>
      <c r="P7" s="116"/>
      <c r="Q7" s="117"/>
      <c r="R7" s="107" t="s">
        <v>35</v>
      </c>
      <c r="S7" s="108"/>
      <c r="T7" s="108"/>
      <c r="U7" s="109"/>
    </row>
    <row r="8" spans="1:21" ht="17.25" customHeight="1">
      <c r="B8" s="23"/>
      <c r="C8" s="49" t="s">
        <v>14</v>
      </c>
      <c r="D8" s="50"/>
      <c r="E8" s="51"/>
      <c r="F8" s="52"/>
      <c r="G8" s="53"/>
      <c r="H8" s="6"/>
      <c r="I8" s="54"/>
      <c r="J8" s="112"/>
      <c r="K8" s="113"/>
      <c r="L8" s="113"/>
      <c r="M8" s="114"/>
      <c r="N8" s="55"/>
      <c r="O8" s="2"/>
      <c r="P8" s="56"/>
      <c r="Q8" s="57"/>
      <c r="R8" s="55"/>
      <c r="S8" s="2"/>
      <c r="T8" s="56"/>
      <c r="U8" s="57"/>
    </row>
    <row r="9" spans="1:21" ht="31.5" customHeight="1">
      <c r="B9" s="4" t="s">
        <v>6</v>
      </c>
      <c r="C9" s="59" t="s">
        <v>7</v>
      </c>
      <c r="D9" s="59" t="s">
        <v>8</v>
      </c>
      <c r="E9" s="59" t="s">
        <v>9</v>
      </c>
      <c r="F9" s="58" t="s">
        <v>21</v>
      </c>
      <c r="G9" s="58" t="s">
        <v>22</v>
      </c>
      <c r="H9" s="58" t="s">
        <v>19</v>
      </c>
      <c r="I9" s="60" t="s">
        <v>20</v>
      </c>
      <c r="J9" s="61" t="s">
        <v>21</v>
      </c>
      <c r="K9" s="58" t="s">
        <v>22</v>
      </c>
      <c r="L9" s="61" t="s">
        <v>38</v>
      </c>
      <c r="M9" s="60" t="s">
        <v>20</v>
      </c>
      <c r="N9" s="58" t="s">
        <v>21</v>
      </c>
      <c r="O9" s="58" t="s">
        <v>22</v>
      </c>
      <c r="P9" s="77" t="s">
        <v>104</v>
      </c>
      <c r="Q9" s="60" t="s">
        <v>20</v>
      </c>
      <c r="R9" s="58" t="s">
        <v>21</v>
      </c>
      <c r="S9" s="58" t="s">
        <v>22</v>
      </c>
      <c r="T9" s="61" t="s">
        <v>38</v>
      </c>
      <c r="U9" s="60" t="s">
        <v>20</v>
      </c>
    </row>
    <row r="10" spans="1:21" ht="22.5" customHeight="1">
      <c r="B10" s="110" t="s">
        <v>28</v>
      </c>
      <c r="C10" s="110"/>
      <c r="D10" s="110"/>
      <c r="E10" s="110"/>
      <c r="F10" s="110"/>
      <c r="G10" s="110"/>
      <c r="H10" s="110"/>
      <c r="I10" s="110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</row>
    <row r="11" spans="1:21" ht="75.75" hidden="1" customHeight="1">
      <c r="B11" s="64" t="s">
        <v>49</v>
      </c>
      <c r="C11" s="13" t="s">
        <v>61</v>
      </c>
      <c r="D11" s="14">
        <v>750</v>
      </c>
      <c r="E11" s="15" t="s">
        <v>2</v>
      </c>
      <c r="F11" s="19">
        <v>8745</v>
      </c>
      <c r="G11" s="11">
        <f t="shared" ref="G11:G12" si="0">1.1*F11</f>
        <v>9619.5</v>
      </c>
      <c r="H11" s="42">
        <v>8329</v>
      </c>
      <c r="I11" s="12">
        <f t="shared" ref="I11:I15" si="1">H11+0.1*H11</f>
        <v>9161.9</v>
      </c>
      <c r="J11" s="28">
        <f t="shared" ref="J11" si="2">F11/$K$3</f>
        <v>289004.92415479693</v>
      </c>
      <c r="K11" s="28">
        <f t="shared" ref="K11" si="3">G11/$K$3</f>
        <v>317905.4165702766</v>
      </c>
      <c r="L11" s="37">
        <f>H11/$K$3</f>
        <v>275256.94834594667</v>
      </c>
      <c r="M11" s="28">
        <f t="shared" ref="M11" si="4">I11/$K$3</f>
        <v>302782.64318054129</v>
      </c>
      <c r="N11" s="29">
        <f t="shared" ref="N11" si="5">F11/$L$3</f>
        <v>4522.6520479933806</v>
      </c>
      <c r="O11" s="29">
        <f t="shared" ref="O11" si="6">G11/$L$3</f>
        <v>4974.9172527927185</v>
      </c>
      <c r="P11" s="37">
        <f t="shared" ref="P11" si="7">H11/$L$3</f>
        <v>4307.5093090608189</v>
      </c>
      <c r="Q11" s="29">
        <f t="shared" ref="Q11" si="8">I11/$L$3</f>
        <v>4738.2602399669013</v>
      </c>
      <c r="R11" s="30">
        <f t="shared" ref="R11" si="9">F11/$M$3</f>
        <v>3937.4155785682124</v>
      </c>
      <c r="S11" s="30">
        <f t="shared" ref="S11" si="10">G11/$M$3</f>
        <v>4331.157136425034</v>
      </c>
      <c r="T11" s="37">
        <f t="shared" ref="T11" si="11">H11/$M$3</f>
        <v>3750.1125619090499</v>
      </c>
      <c r="U11" s="30">
        <f t="shared" ref="U11" si="12">I11/$M$3</f>
        <v>4125.1238180999544</v>
      </c>
    </row>
    <row r="12" spans="1:21" ht="32.25" hidden="1" customHeight="1">
      <c r="B12" s="13" t="s">
        <v>0</v>
      </c>
      <c r="C12" s="13" t="s">
        <v>93</v>
      </c>
      <c r="D12" s="14">
        <v>730</v>
      </c>
      <c r="E12" s="15" t="s">
        <v>2</v>
      </c>
      <c r="F12" s="11">
        <v>13100</v>
      </c>
      <c r="G12" s="11">
        <f t="shared" si="0"/>
        <v>14410.000000000002</v>
      </c>
      <c r="H12" s="44">
        <v>12270</v>
      </c>
      <c r="I12" s="12">
        <f t="shared" si="1"/>
        <v>13497</v>
      </c>
      <c r="J12" s="28">
        <f t="shared" ref="J12:J30" si="13">F12/$K$3</f>
        <v>432929.04590369808</v>
      </c>
      <c r="K12" s="28">
        <f t="shared" ref="K12:K30" si="14">G12/$K$3</f>
        <v>476221.95049406792</v>
      </c>
      <c r="L12" s="37">
        <f>H12/$K$3</f>
        <v>405499.19032354007</v>
      </c>
      <c r="M12" s="28">
        <f t="shared" ref="M12:M30" si="15">I12/$K$3</f>
        <v>446049.10935589409</v>
      </c>
      <c r="N12" s="29">
        <f t="shared" ref="N12:N33" si="16">F12/$L$3</f>
        <v>6774.9275961936282</v>
      </c>
      <c r="O12" s="29">
        <f t="shared" ref="O12" si="17">G12/$L$3</f>
        <v>7452.4203558129921</v>
      </c>
      <c r="P12" s="37">
        <f t="shared" ref="P12" si="18">H12/$L$3</f>
        <v>6345.676458419528</v>
      </c>
      <c r="Q12" s="29">
        <f t="shared" ref="Q12" si="19">I12/$L$3</f>
        <v>6980.244104261481</v>
      </c>
      <c r="R12" s="30">
        <f t="shared" ref="R12" si="20">F12/$M$3</f>
        <v>5898.2440342188202</v>
      </c>
      <c r="S12" s="30">
        <f t="shared" ref="S12" si="21">G12/$M$3</f>
        <v>6488.0684376407025</v>
      </c>
      <c r="T12" s="37">
        <f t="shared" ref="T12" si="22">H12/$M$3</f>
        <v>5524.5384961728951</v>
      </c>
      <c r="U12" s="30">
        <f t="shared" ref="U12" si="23">I12/$M$3</f>
        <v>6076.9923457901841</v>
      </c>
    </row>
    <row r="13" spans="1:21" ht="93" hidden="1" customHeight="1">
      <c r="B13" s="62" t="s">
        <v>45</v>
      </c>
      <c r="C13" s="13" t="s">
        <v>94</v>
      </c>
      <c r="D13" s="14">
        <v>730</v>
      </c>
      <c r="E13" s="15" t="s">
        <v>2</v>
      </c>
      <c r="F13" s="78">
        <v>1.5</v>
      </c>
      <c r="G13" s="78">
        <f t="shared" ref="G13" si="24">1.1*F13</f>
        <v>1.6500000000000001</v>
      </c>
      <c r="H13" s="79">
        <v>1.41</v>
      </c>
      <c r="I13" s="80">
        <f t="shared" si="1"/>
        <v>1.5509999999999999</v>
      </c>
      <c r="J13" s="28">
        <f>F13/$K$3</f>
        <v>49.57202815691199</v>
      </c>
      <c r="K13" s="28">
        <f t="shared" ref="K13" si="25">G13/$K$3</f>
        <v>54.529230972603195</v>
      </c>
      <c r="L13" s="37">
        <f>H13/$K$3</f>
        <v>46.597706467497268</v>
      </c>
      <c r="M13" s="28">
        <f t="shared" ref="M13" si="26">I13/$K$3</f>
        <v>51.257477114246996</v>
      </c>
      <c r="N13" s="29">
        <f t="shared" ref="N13" si="27">F13/$L$3</f>
        <v>0.77575506826644602</v>
      </c>
      <c r="O13" s="29">
        <f>G13/$L$3</f>
        <v>0.85333057509309074</v>
      </c>
      <c r="P13" s="37">
        <f>H13/$L$3</f>
        <v>0.72920976417045924</v>
      </c>
      <c r="Q13" s="29">
        <f t="shared" ref="Q13" si="28">I13/$L$3</f>
        <v>0.80213074058750511</v>
      </c>
      <c r="R13" s="30">
        <f t="shared" ref="R13" si="29">F13/$M$3</f>
        <v>0.67537145429986489</v>
      </c>
      <c r="S13" s="30">
        <f t="shared" ref="S13" si="30">G13/$M$3</f>
        <v>0.74290859972985146</v>
      </c>
      <c r="T13" s="37">
        <f t="shared" ref="T13" si="31">H13/$M$3</f>
        <v>0.634849167041873</v>
      </c>
      <c r="U13" s="30">
        <f t="shared" ref="U13" si="32">I13/$M$3</f>
        <v>0.69833408374606032</v>
      </c>
    </row>
    <row r="14" spans="1:21" ht="27.75" hidden="1" customHeight="1">
      <c r="B14" s="73" t="s">
        <v>0</v>
      </c>
      <c r="C14" s="13" t="s">
        <v>47</v>
      </c>
      <c r="D14" s="14">
        <v>3000</v>
      </c>
      <c r="E14" s="15" t="s">
        <v>3</v>
      </c>
      <c r="F14" s="19">
        <f>6600+27483</f>
        <v>34083</v>
      </c>
      <c r="G14" s="11">
        <f>1.1*F14</f>
        <v>37491.300000000003</v>
      </c>
      <c r="H14" s="76">
        <v>26174</v>
      </c>
      <c r="I14" s="12">
        <f>H14+0.1*H14</f>
        <v>28791.4</v>
      </c>
      <c r="J14" s="28">
        <f>F14/$K$3</f>
        <v>1126375.6237813542</v>
      </c>
      <c r="K14" s="28">
        <f t="shared" ref="K14" si="33">G14/$K$3</f>
        <v>1239013.1861594897</v>
      </c>
      <c r="L14" s="37">
        <f>H14/$K$3</f>
        <v>864998.84331934294</v>
      </c>
      <c r="M14" s="28">
        <f t="shared" ref="M14" si="34">I14/$K$3</f>
        <v>951498.72765127732</v>
      </c>
      <c r="N14" s="29">
        <f t="shared" ref="N14" si="35">F14/$L$3</f>
        <v>17626.706661150187</v>
      </c>
      <c r="O14" s="29">
        <f>G14/$L$3</f>
        <v>19389.377327265207</v>
      </c>
      <c r="P14" s="37">
        <f>H14/$L$3</f>
        <v>13536.408771203973</v>
      </c>
      <c r="Q14" s="29">
        <f t="shared" ref="Q14" si="36">I14/$L$3</f>
        <v>14890.04964832437</v>
      </c>
      <c r="R14" s="30">
        <f t="shared" ref="R14" si="37">F14/$M$3</f>
        <v>15345.79018460153</v>
      </c>
      <c r="S14" s="30">
        <f t="shared" ref="S14" si="38">G14/$M$3</f>
        <v>16880.369203061684</v>
      </c>
      <c r="T14" s="37">
        <f t="shared" ref="T14" si="39">H14/$M$3</f>
        <v>11784.781629896443</v>
      </c>
      <c r="U14" s="30">
        <f t="shared" ref="U14" si="40">I14/$M$3</f>
        <v>12963.259792886087</v>
      </c>
    </row>
    <row r="15" spans="1:21" ht="83.25" customHeight="1">
      <c r="A15" s="5" t="s">
        <v>26</v>
      </c>
      <c r="B15" s="62" t="s">
        <v>37</v>
      </c>
      <c r="C15" s="13" t="s">
        <v>61</v>
      </c>
      <c r="D15" s="14">
        <v>3000</v>
      </c>
      <c r="E15" s="15" t="s">
        <v>3</v>
      </c>
      <c r="F15" s="78">
        <f>2.89+0.66</f>
        <v>3.5500000000000003</v>
      </c>
      <c r="G15" s="78">
        <f t="shared" ref="G15" si="41">1.1*F15</f>
        <v>3.9050000000000007</v>
      </c>
      <c r="H15" s="79">
        <f>0.66+2.75</f>
        <v>3.41</v>
      </c>
      <c r="I15" s="80">
        <f t="shared" si="1"/>
        <v>3.7510000000000003</v>
      </c>
      <c r="J15" s="28">
        <f t="shared" si="13"/>
        <v>117.32046663802505</v>
      </c>
      <c r="K15" s="28">
        <f t="shared" si="14"/>
        <v>129.05251330182756</v>
      </c>
      <c r="L15" s="37">
        <f>H15/$K$3</f>
        <v>112.6937440100466</v>
      </c>
      <c r="M15" s="28">
        <f t="shared" si="15"/>
        <v>123.96311841105127</v>
      </c>
      <c r="N15" s="29">
        <f t="shared" si="16"/>
        <v>1.8359536615639225</v>
      </c>
      <c r="O15" s="29">
        <f t="shared" ref="O15:O33" si="42">G15/$L$3</f>
        <v>2.019549027720315</v>
      </c>
      <c r="P15" s="37">
        <f t="shared" ref="P15:P30" si="43">H15/$L$3</f>
        <v>1.7635498551923874</v>
      </c>
      <c r="Q15" s="29">
        <f t="shared" ref="Q15:Q33" si="44">I15/$L$3</f>
        <v>1.9399048407116262</v>
      </c>
      <c r="R15" s="30">
        <f t="shared" ref="R15:R33" si="45">F15/$M$3</f>
        <v>1.5983791085096803</v>
      </c>
      <c r="S15" s="30">
        <f t="shared" ref="S15:S21" si="46">G15/$M$3</f>
        <v>1.7582170193606486</v>
      </c>
      <c r="T15" s="37">
        <f t="shared" ref="T15:T30" si="47">H15/$M$3</f>
        <v>1.5353444394416929</v>
      </c>
      <c r="U15" s="30">
        <f t="shared" ref="U15:U33" si="48">I15/$M$3</f>
        <v>1.6888788833858623</v>
      </c>
    </row>
    <row r="16" spans="1:21" ht="61.5" customHeight="1">
      <c r="A16" s="5" t="s">
        <v>26</v>
      </c>
      <c r="B16" s="62" t="s">
        <v>111</v>
      </c>
      <c r="C16" s="13" t="s">
        <v>110</v>
      </c>
      <c r="D16" s="14">
        <v>3000</v>
      </c>
      <c r="E16" s="15" t="s">
        <v>3</v>
      </c>
      <c r="F16" s="78">
        <f>3.53+0.66</f>
        <v>4.1899999999999995</v>
      </c>
      <c r="G16" s="78">
        <f t="shared" ref="G16" si="49">1.1*F16</f>
        <v>4.609</v>
      </c>
      <c r="H16" s="79">
        <f>3.35+0.66</f>
        <v>4.01</v>
      </c>
      <c r="I16" s="80">
        <f t="shared" ref="I16" si="50">H16+0.1*H16</f>
        <v>4.4109999999999996</v>
      </c>
      <c r="J16" s="28">
        <f t="shared" ref="J16" si="51">F16/$K$3</f>
        <v>138.4711986516408</v>
      </c>
      <c r="K16" s="28">
        <f t="shared" ref="K16" si="52">G16/$K$3</f>
        <v>152.31831851680491</v>
      </c>
      <c r="L16" s="37">
        <f t="shared" ref="L16" si="53">H16/$K$3</f>
        <v>132.52255527281139</v>
      </c>
      <c r="M16" s="28">
        <f t="shared" ref="M16" si="54">I16/$K$3</f>
        <v>145.77481080009252</v>
      </c>
      <c r="N16" s="29">
        <f t="shared" ref="N16" si="55">F16/$L$3</f>
        <v>2.1669424906909391</v>
      </c>
      <c r="O16" s="29">
        <f t="shared" ref="O16" si="56">G16/$L$3</f>
        <v>2.3836367397600333</v>
      </c>
      <c r="P16" s="37">
        <f t="shared" ref="P16" si="57">H16/$L$3</f>
        <v>2.0738518824989653</v>
      </c>
      <c r="Q16" s="29">
        <f t="shared" ref="Q16" si="58">I16/$L$3</f>
        <v>2.2812370707488618</v>
      </c>
      <c r="R16" s="30">
        <f t="shared" ref="R16" si="59">F16/$M$3</f>
        <v>1.8865375956776225</v>
      </c>
      <c r="S16" s="30">
        <f t="shared" ref="S16" si="60">G16/$M$3</f>
        <v>2.0751913552453849</v>
      </c>
      <c r="T16" s="37">
        <f t="shared" ref="T16" si="61">H16/$M$3</f>
        <v>1.8054930211616387</v>
      </c>
      <c r="U16" s="30">
        <f t="shared" ref="U16" si="62">I16/$M$3</f>
        <v>1.9860423232778026</v>
      </c>
    </row>
    <row r="17" spans="1:21" ht="18.75" customHeight="1">
      <c r="B17" s="98" t="s">
        <v>10</v>
      </c>
      <c r="C17" s="98"/>
      <c r="D17" s="98"/>
      <c r="E17" s="98"/>
      <c r="F17" s="98"/>
      <c r="G17" s="98"/>
      <c r="H17" s="98"/>
      <c r="I17" s="98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</row>
    <row r="18" spans="1:21" ht="84.75" hidden="1" customHeight="1">
      <c r="B18" s="13" t="s">
        <v>16</v>
      </c>
      <c r="C18" s="13" t="s">
        <v>62</v>
      </c>
      <c r="D18" s="14">
        <v>730</v>
      </c>
      <c r="E18" s="15" t="s">
        <v>2</v>
      </c>
      <c r="F18" s="78">
        <v>1.24</v>
      </c>
      <c r="G18" s="78">
        <f t="shared" ref="G18:G33" si="63">F18*1.1</f>
        <v>1.3640000000000001</v>
      </c>
      <c r="H18" s="79">
        <v>1.17</v>
      </c>
      <c r="I18" s="80">
        <f t="shared" ref="I18:I33" si="64">H18+0.1*H18</f>
        <v>1.2869999999999999</v>
      </c>
      <c r="J18" s="28">
        <f t="shared" si="13"/>
        <v>40.979543276380582</v>
      </c>
      <c r="K18" s="28">
        <f t="shared" si="14"/>
        <v>45.077497604018639</v>
      </c>
      <c r="L18" s="37">
        <f t="shared" ref="L18:L30" si="65">H18/$K$3</f>
        <v>38.666181962391349</v>
      </c>
      <c r="M18" s="28">
        <f t="shared" si="15"/>
        <v>42.532800158630486</v>
      </c>
      <c r="N18" s="29">
        <f t="shared" si="16"/>
        <v>0.6412908564335954</v>
      </c>
      <c r="O18" s="29">
        <f t="shared" si="42"/>
        <v>0.70541994207695491</v>
      </c>
      <c r="P18" s="37">
        <f t="shared" si="43"/>
        <v>0.60508895324782785</v>
      </c>
      <c r="Q18" s="29">
        <f t="shared" si="44"/>
        <v>0.66559784857261062</v>
      </c>
      <c r="R18" s="30">
        <f t="shared" si="45"/>
        <v>0.55830706888788828</v>
      </c>
      <c r="S18" s="30">
        <f t="shared" si="46"/>
        <v>0.61413777577667716</v>
      </c>
      <c r="T18" s="37">
        <f t="shared" si="47"/>
        <v>0.52678973435389465</v>
      </c>
      <c r="U18" s="30">
        <f t="shared" si="48"/>
        <v>0.57946870778928405</v>
      </c>
    </row>
    <row r="19" spans="1:21" ht="84.75" hidden="1" customHeight="1">
      <c r="B19" s="43" t="s">
        <v>39</v>
      </c>
      <c r="C19" s="13" t="s">
        <v>63</v>
      </c>
      <c r="D19" s="14">
        <v>730</v>
      </c>
      <c r="E19" s="41" t="s">
        <v>4</v>
      </c>
      <c r="F19" s="19">
        <v>13750</v>
      </c>
      <c r="G19" s="19">
        <f t="shared" ref="G19" si="66">F19*1.1</f>
        <v>15125.000000000002</v>
      </c>
      <c r="H19" s="42">
        <v>12900</v>
      </c>
      <c r="I19" s="18">
        <f t="shared" ref="I19" si="67">H19+0.1*H19</f>
        <v>14190</v>
      </c>
      <c r="J19" s="28">
        <f t="shared" ref="J19" si="68">F19/$K$3</f>
        <v>454410.25810502656</v>
      </c>
      <c r="K19" s="28">
        <f t="shared" ref="K19" si="69">G19/$K$3</f>
        <v>499851.28391552932</v>
      </c>
      <c r="L19" s="37">
        <f>H19/$K$3</f>
        <v>426319.44214944314</v>
      </c>
      <c r="M19" s="28">
        <f t="shared" ref="M19" si="70">I19/$K$3</f>
        <v>468951.38636438746</v>
      </c>
      <c r="N19" s="29">
        <f t="shared" ref="N19" si="71">F19/$L$3</f>
        <v>7111.0881257757555</v>
      </c>
      <c r="O19" s="29">
        <f t="shared" ref="O19" si="72">G19/$L$3</f>
        <v>7822.1969383533315</v>
      </c>
      <c r="P19" s="37">
        <f t="shared" ref="P19" si="73">H19/$L$3</f>
        <v>6671.493587091436</v>
      </c>
      <c r="Q19" s="29">
        <f t="shared" ref="Q19" si="74">I19/$L$3</f>
        <v>7338.6429458005796</v>
      </c>
      <c r="R19" s="30">
        <f t="shared" ref="R19" si="75">F19/$M$3</f>
        <v>6190.9049977487612</v>
      </c>
      <c r="S19" s="30">
        <f t="shared" si="46"/>
        <v>6809.9954975236387</v>
      </c>
      <c r="T19" s="37">
        <f t="shared" ref="T19" si="76">H19/$M$3</f>
        <v>5808.194506978838</v>
      </c>
      <c r="U19" s="30">
        <f t="shared" ref="U19" si="77">I19/$M$3</f>
        <v>6389.0139576767224</v>
      </c>
    </row>
    <row r="20" spans="1:21" ht="87" hidden="1" customHeight="1">
      <c r="B20" s="13" t="s">
        <v>1</v>
      </c>
      <c r="C20" s="13" t="s">
        <v>64</v>
      </c>
      <c r="D20" s="14">
        <v>730</v>
      </c>
      <c r="E20" s="15" t="s">
        <v>2</v>
      </c>
      <c r="F20" s="78">
        <v>1.03</v>
      </c>
      <c r="G20" s="78">
        <f t="shared" si="63"/>
        <v>1.1330000000000002</v>
      </c>
      <c r="H20" s="79">
        <v>0.98</v>
      </c>
      <c r="I20" s="80">
        <f t="shared" si="64"/>
        <v>1.0780000000000001</v>
      </c>
      <c r="J20" s="28">
        <f t="shared" si="13"/>
        <v>34.039459334412904</v>
      </c>
      <c r="K20" s="28">
        <f t="shared" si="14"/>
        <v>37.443405267854196</v>
      </c>
      <c r="L20" s="37">
        <f t="shared" si="65"/>
        <v>32.387058395849166</v>
      </c>
      <c r="M20" s="28">
        <f t="shared" si="15"/>
        <v>35.625764235434083</v>
      </c>
      <c r="N20" s="29">
        <f t="shared" si="16"/>
        <v>0.53268514687629298</v>
      </c>
      <c r="O20" s="29">
        <f t="shared" si="42"/>
        <v>0.58595366156392237</v>
      </c>
      <c r="P20" s="37">
        <f t="shared" si="43"/>
        <v>0.50682664460074467</v>
      </c>
      <c r="Q20" s="29">
        <f t="shared" si="44"/>
        <v>0.55750930906081919</v>
      </c>
      <c r="R20" s="30">
        <f t="shared" si="45"/>
        <v>0.46375506528590726</v>
      </c>
      <c r="S20" s="30">
        <f t="shared" si="46"/>
        <v>0.51013057181449806</v>
      </c>
      <c r="T20" s="37">
        <f t="shared" si="47"/>
        <v>0.44124268347591172</v>
      </c>
      <c r="U20" s="30">
        <f t="shared" si="48"/>
        <v>0.48536695182350292</v>
      </c>
    </row>
    <row r="21" spans="1:21" ht="83.25" hidden="1" customHeight="1">
      <c r="B21" s="64" t="s">
        <v>87</v>
      </c>
      <c r="C21" s="13" t="s">
        <v>88</v>
      </c>
      <c r="D21" s="14">
        <v>730</v>
      </c>
      <c r="E21" s="15" t="s">
        <v>2</v>
      </c>
      <c r="F21" s="19">
        <v>12350</v>
      </c>
      <c r="G21" s="19">
        <f t="shared" ref="G21" si="78">F21*1.1</f>
        <v>13585.000000000002</v>
      </c>
      <c r="H21" s="63">
        <v>11650</v>
      </c>
      <c r="I21" s="12">
        <f t="shared" ref="I21" si="79">H21+0.1*H21</f>
        <v>12815</v>
      </c>
      <c r="J21" s="28">
        <f t="shared" si="13"/>
        <v>408143.03182524204</v>
      </c>
      <c r="K21" s="28">
        <f t="shared" si="14"/>
        <v>448957.33500776632</v>
      </c>
      <c r="L21" s="37">
        <f t="shared" si="65"/>
        <v>385009.41868534981</v>
      </c>
      <c r="M21" s="28">
        <f t="shared" si="15"/>
        <v>423510.36055388476</v>
      </c>
      <c r="N21" s="29">
        <f t="shared" si="16"/>
        <v>6387.0500620604053</v>
      </c>
      <c r="O21" s="29">
        <f t="shared" si="42"/>
        <v>7025.7550682664469</v>
      </c>
      <c r="P21" s="37">
        <f t="shared" si="43"/>
        <v>6025.031030202731</v>
      </c>
      <c r="Q21" s="29">
        <f t="shared" si="44"/>
        <v>6627.5341332230037</v>
      </c>
      <c r="R21" s="30">
        <f t="shared" si="45"/>
        <v>5560.5583070688881</v>
      </c>
      <c r="S21" s="30">
        <f t="shared" si="46"/>
        <v>6116.6141377757776</v>
      </c>
      <c r="T21" s="37">
        <f t="shared" si="47"/>
        <v>5245.3849617289507</v>
      </c>
      <c r="U21" s="30">
        <f t="shared" si="48"/>
        <v>5769.9234579018457</v>
      </c>
    </row>
    <row r="22" spans="1:21" ht="88.5" customHeight="1">
      <c r="B22" s="13" t="s">
        <v>43</v>
      </c>
      <c r="C22" s="13" t="s">
        <v>65</v>
      </c>
      <c r="D22" s="14">
        <v>730</v>
      </c>
      <c r="E22" s="15" t="s">
        <v>2</v>
      </c>
      <c r="F22" s="82">
        <v>1.25</v>
      </c>
      <c r="G22" s="82">
        <f t="shared" si="63"/>
        <v>1.375</v>
      </c>
      <c r="H22" s="83">
        <v>1.17</v>
      </c>
      <c r="I22" s="84">
        <f t="shared" si="64"/>
        <v>1.2869999999999999</v>
      </c>
      <c r="J22" s="28">
        <f t="shared" ref="J22:M23" si="80">F22/$K$3</f>
        <v>41.310023464093327</v>
      </c>
      <c r="K22" s="28">
        <f t="shared" si="80"/>
        <v>45.441025810502659</v>
      </c>
      <c r="L22" s="37">
        <f t="shared" si="80"/>
        <v>38.666181962391349</v>
      </c>
      <c r="M22" s="28">
        <f t="shared" si="80"/>
        <v>42.532800158630486</v>
      </c>
      <c r="N22" s="29">
        <f t="shared" ref="N22" si="81">F22/$L$3</f>
        <v>0.64646255688870502</v>
      </c>
      <c r="O22" s="29">
        <f t="shared" ref="O22" si="82">G22/$L$3</f>
        <v>0.71110881257757552</v>
      </c>
      <c r="P22" s="37">
        <f t="shared" ref="P22" si="83">H22/$L$3</f>
        <v>0.60508895324782785</v>
      </c>
      <c r="Q22" s="29">
        <f t="shared" ref="Q22" si="84">I22/$L$3</f>
        <v>0.66559784857261062</v>
      </c>
      <c r="R22" s="30">
        <f t="shared" ref="R22" si="85">F22/$M$3</f>
        <v>0.56280954524988747</v>
      </c>
      <c r="S22" s="30">
        <f t="shared" ref="S22" si="86">G22/$M$3</f>
        <v>0.61909049977487618</v>
      </c>
      <c r="T22" s="37">
        <f t="shared" ref="T22" si="87">H22/$M$3</f>
        <v>0.52678973435389465</v>
      </c>
      <c r="U22" s="30">
        <f t="shared" ref="U22" si="88">I22/$M$3</f>
        <v>0.57946870778928405</v>
      </c>
    </row>
    <row r="23" spans="1:21" ht="87" hidden="1" customHeight="1">
      <c r="B23" s="13" t="s">
        <v>44</v>
      </c>
      <c r="C23" s="13" t="s">
        <v>66</v>
      </c>
      <c r="D23" s="14">
        <v>730</v>
      </c>
      <c r="E23" s="15" t="s">
        <v>2</v>
      </c>
      <c r="F23" s="82">
        <v>1.17</v>
      </c>
      <c r="G23" s="82">
        <f t="shared" ref="G23:G31" si="89">F23*1.1</f>
        <v>1.2869999999999999</v>
      </c>
      <c r="H23" s="83">
        <v>1.1000000000000001</v>
      </c>
      <c r="I23" s="84">
        <f t="shared" ref="I23:I24" si="90">H23+0.1*H23</f>
        <v>1.2100000000000002</v>
      </c>
      <c r="J23" s="28">
        <f t="shared" si="80"/>
        <v>38.666181962391349</v>
      </c>
      <c r="K23" s="28">
        <f t="shared" si="80"/>
        <v>42.532800158630486</v>
      </c>
      <c r="L23" s="37">
        <f t="shared" si="80"/>
        <v>36.35282064840213</v>
      </c>
      <c r="M23" s="28">
        <f t="shared" si="80"/>
        <v>39.988102713242348</v>
      </c>
      <c r="N23" s="29">
        <f t="shared" ref="N23" si="91">F23/$L$3</f>
        <v>0.60508895324782785</v>
      </c>
      <c r="O23" s="29">
        <f t="shared" ref="O23" si="92">G23/$L$3</f>
        <v>0.66559784857261062</v>
      </c>
      <c r="P23" s="37">
        <f t="shared" ref="P23:P28" si="93">H23/$L$3</f>
        <v>0.56888705006206042</v>
      </c>
      <c r="Q23" s="29">
        <f t="shared" ref="Q23" si="94">I23/$L$3</f>
        <v>0.62577575506826655</v>
      </c>
      <c r="R23" s="30">
        <f t="shared" ref="R23" si="95">F23/$M$3</f>
        <v>0.52678973435389465</v>
      </c>
      <c r="S23" s="30">
        <f t="shared" ref="S23" si="96">G23/$M$3</f>
        <v>0.57946870778928405</v>
      </c>
      <c r="T23" s="37">
        <f t="shared" ref="T23:T28" si="97">H23/$M$3</f>
        <v>0.49527239981990095</v>
      </c>
      <c r="U23" s="30">
        <f t="shared" ref="U23" si="98">I23/$M$3</f>
        <v>0.54479963980189106</v>
      </c>
    </row>
    <row r="24" spans="1:21" ht="87.75" hidden="1" customHeight="1">
      <c r="B24" s="64" t="s">
        <v>46</v>
      </c>
      <c r="C24" s="13" t="s">
        <v>67</v>
      </c>
      <c r="D24" s="14">
        <v>730</v>
      </c>
      <c r="E24" s="15" t="s">
        <v>2</v>
      </c>
      <c r="F24" s="82">
        <v>17600</v>
      </c>
      <c r="G24" s="82">
        <f t="shared" si="89"/>
        <v>19360</v>
      </c>
      <c r="H24" s="85">
        <v>16500</v>
      </c>
      <c r="I24" s="88">
        <f t="shared" si="90"/>
        <v>18150</v>
      </c>
      <c r="J24" s="28">
        <f t="shared" ref="J24" si="99">F24/$K$3</f>
        <v>581645.13037443405</v>
      </c>
      <c r="K24" s="28">
        <f t="shared" ref="K24" si="100">G24/$K$3</f>
        <v>639809.64341187745</v>
      </c>
      <c r="L24" s="37">
        <f t="shared" ref="L24" si="101">H24/$K$3</f>
        <v>545292.30972603185</v>
      </c>
      <c r="M24" s="28">
        <f t="shared" ref="M24" si="102">I24/$K$3</f>
        <v>599821.54069863504</v>
      </c>
      <c r="N24" s="29">
        <f t="shared" ref="N24" si="103">F24/$L$3</f>
        <v>9102.192800992967</v>
      </c>
      <c r="O24" s="29">
        <f t="shared" ref="O24" si="104">G24/$L$3</f>
        <v>10012.412081092263</v>
      </c>
      <c r="P24" s="37">
        <f t="shared" si="93"/>
        <v>8533.3057509309056</v>
      </c>
      <c r="Q24" s="29">
        <f t="shared" ref="Q24" si="105">I24/$L$3</f>
        <v>9386.6363260239959</v>
      </c>
      <c r="R24" s="30">
        <f t="shared" ref="R24" si="106">F24/$M$3</f>
        <v>7924.3583971184153</v>
      </c>
      <c r="S24" s="30">
        <f t="shared" ref="S24" si="107">G24/$M$3</f>
        <v>8716.7942368302556</v>
      </c>
      <c r="T24" s="37">
        <f t="shared" si="97"/>
        <v>7429.0859972985136</v>
      </c>
      <c r="U24" s="30">
        <f t="shared" ref="U24" si="108">I24/$M$3</f>
        <v>8171.9945970283652</v>
      </c>
    </row>
    <row r="25" spans="1:21" s="46" customFormat="1" ht="90.75" hidden="1" customHeight="1">
      <c r="A25" s="17" t="s">
        <v>17</v>
      </c>
      <c r="B25" s="13" t="s">
        <v>52</v>
      </c>
      <c r="C25" s="13" t="s">
        <v>68</v>
      </c>
      <c r="D25" s="14">
        <v>730</v>
      </c>
      <c r="E25" s="15" t="s">
        <v>2</v>
      </c>
      <c r="F25" s="82">
        <v>9775</v>
      </c>
      <c r="G25" s="82">
        <f t="shared" si="89"/>
        <v>10752.5</v>
      </c>
      <c r="H25" s="85">
        <v>9315</v>
      </c>
      <c r="I25" s="88">
        <f t="shared" ref="I25:I28" si="109">H25+0.1*H25</f>
        <v>10246.5</v>
      </c>
      <c r="J25" s="28">
        <f>F25/$K$3</f>
        <v>323044.38348920981</v>
      </c>
      <c r="K25" s="28">
        <f t="shared" ref="J25:M28" si="110">G25/$K$3</f>
        <v>355348.82183813077</v>
      </c>
      <c r="L25" s="37">
        <f>H25/$K$3</f>
        <v>307842.29485442344</v>
      </c>
      <c r="M25" s="28">
        <f t="shared" si="110"/>
        <v>338626.52433986583</v>
      </c>
      <c r="N25" s="29">
        <f t="shared" ref="N25" si="111">F25/$L$3</f>
        <v>5055.3371948696731</v>
      </c>
      <c r="O25" s="29">
        <f t="shared" ref="O25" si="112">G25/$L$3</f>
        <v>5560.8709143566402</v>
      </c>
      <c r="P25" s="37">
        <f t="shared" si="93"/>
        <v>4817.4389739346298</v>
      </c>
      <c r="Q25" s="29">
        <f t="shared" ref="Q25" si="113">I25/$L$3</f>
        <v>5299.1828713280929</v>
      </c>
      <c r="R25" s="30">
        <f t="shared" ref="R25" si="114">F25/$M$3</f>
        <v>4401.1706438541196</v>
      </c>
      <c r="S25" s="30">
        <f t="shared" ref="S25" si="115">G25/$M$3</f>
        <v>4841.2877082395316</v>
      </c>
      <c r="T25" s="37">
        <f t="shared" si="97"/>
        <v>4194.0567312021612</v>
      </c>
      <c r="U25" s="30">
        <f t="shared" ref="U25" si="116">I25/$M$3</f>
        <v>4613.4624043223776</v>
      </c>
    </row>
    <row r="26" spans="1:21" s="46" customFormat="1" ht="85.5" customHeight="1">
      <c r="A26" s="74"/>
      <c r="B26" s="64" t="s">
        <v>43</v>
      </c>
      <c r="C26" s="13" t="s">
        <v>65</v>
      </c>
      <c r="D26" s="14">
        <v>1420</v>
      </c>
      <c r="E26" s="15" t="s">
        <v>4</v>
      </c>
      <c r="F26" s="82">
        <v>1.93</v>
      </c>
      <c r="G26" s="82">
        <f t="shared" si="89"/>
        <v>2.1230000000000002</v>
      </c>
      <c r="H26" s="85">
        <v>1.82</v>
      </c>
      <c r="I26" s="88">
        <f>H26+0.1*H26</f>
        <v>2.0020000000000002</v>
      </c>
      <c r="J26" s="28">
        <f t="shared" ref="J26" si="117">F26/$K$3</f>
        <v>63.782676228560092</v>
      </c>
      <c r="K26" s="28">
        <f t="shared" ref="K26" si="118">G26/$K$3</f>
        <v>70.160943851416107</v>
      </c>
      <c r="L26" s="37">
        <f t="shared" ref="L26" si="119">H26/$K$3</f>
        <v>60.147394163719888</v>
      </c>
      <c r="M26" s="28">
        <f t="shared" ref="M26" si="120">I26/$K$3</f>
        <v>66.162133580091876</v>
      </c>
      <c r="N26" s="29">
        <f t="shared" ref="N26" si="121">F26/$L$3</f>
        <v>0.99813818783616048</v>
      </c>
      <c r="O26" s="29">
        <f t="shared" ref="O26" si="122">G26/$L$3</f>
        <v>1.0979520066197768</v>
      </c>
      <c r="P26" s="37">
        <f t="shared" si="93"/>
        <v>0.94124948282995458</v>
      </c>
      <c r="Q26" s="29">
        <f t="shared" ref="Q26" si="123">I26/$L$3</f>
        <v>1.03537443111295</v>
      </c>
      <c r="R26" s="30">
        <f t="shared" ref="R26" si="124">F26/$M$3</f>
        <v>0.86897793786582611</v>
      </c>
      <c r="S26" s="30">
        <f t="shared" ref="S26" si="125">G26/$M$3</f>
        <v>0.95587573165240891</v>
      </c>
      <c r="T26" s="37">
        <f t="shared" si="97"/>
        <v>0.81945069788383607</v>
      </c>
      <c r="U26" s="30">
        <f t="shared" ref="U26" si="126">I26/$M$3</f>
        <v>0.90139576767221974</v>
      </c>
    </row>
    <row r="27" spans="1:21" s="46" customFormat="1" ht="84.75" customHeight="1">
      <c r="A27" s="74"/>
      <c r="B27" s="64" t="s">
        <v>52</v>
      </c>
      <c r="C27" s="13" t="s">
        <v>68</v>
      </c>
      <c r="D27" s="14">
        <v>1420</v>
      </c>
      <c r="E27" s="15" t="s">
        <v>4</v>
      </c>
      <c r="F27" s="82">
        <v>1.91</v>
      </c>
      <c r="G27" s="82">
        <f t="shared" si="89"/>
        <v>2.101</v>
      </c>
      <c r="H27" s="85">
        <v>1.79</v>
      </c>
      <c r="I27" s="88">
        <f t="shared" si="109"/>
        <v>1.9690000000000001</v>
      </c>
      <c r="J27" s="28">
        <f t="shared" ref="J27" si="127">F27/$K$3</f>
        <v>63.121715853134603</v>
      </c>
      <c r="K27" s="28">
        <f t="shared" ref="K27" si="128">G27/$K$3</f>
        <v>69.433887438448068</v>
      </c>
      <c r="L27" s="37">
        <f>H27/$K$3</f>
        <v>59.155953600581647</v>
      </c>
      <c r="M27" s="28">
        <f t="shared" ref="M27" si="129">I27/$K$3</f>
        <v>65.071548960639817</v>
      </c>
      <c r="N27" s="29">
        <f t="shared" ref="N27" si="130">F27/$L$3</f>
        <v>0.98779478692594125</v>
      </c>
      <c r="O27" s="29">
        <f t="shared" ref="O27" si="131">G27/$L$3</f>
        <v>1.0865742656185353</v>
      </c>
      <c r="P27" s="37">
        <f t="shared" si="93"/>
        <v>0.92573438146462561</v>
      </c>
      <c r="Q27" s="29">
        <f t="shared" ref="Q27" si="132">I27/$L$3</f>
        <v>1.0183078196110882</v>
      </c>
      <c r="R27" s="30">
        <f t="shared" ref="R27" si="133">F27/$M$3</f>
        <v>0.85997298514182796</v>
      </c>
      <c r="S27" s="30">
        <f t="shared" ref="S27" si="134">G27/$M$3</f>
        <v>0.94597028365601077</v>
      </c>
      <c r="T27" s="37">
        <f t="shared" si="97"/>
        <v>0.80594326879783884</v>
      </c>
      <c r="U27" s="30">
        <f t="shared" ref="U27" si="135">I27/$M$3</f>
        <v>0.88653759567762269</v>
      </c>
    </row>
    <row r="28" spans="1:21" s="46" customFormat="1" ht="85.5" customHeight="1">
      <c r="A28" s="74"/>
      <c r="B28" s="64" t="s">
        <v>53</v>
      </c>
      <c r="C28" s="13" t="s">
        <v>69</v>
      </c>
      <c r="D28" s="14">
        <v>1420</v>
      </c>
      <c r="E28" s="15" t="s">
        <v>4</v>
      </c>
      <c r="F28" s="82">
        <v>2.44</v>
      </c>
      <c r="G28" s="82">
        <f t="shared" si="89"/>
        <v>2.6840000000000002</v>
      </c>
      <c r="H28" s="85">
        <v>2.29</v>
      </c>
      <c r="I28" s="88">
        <f t="shared" si="109"/>
        <v>2.5190000000000001</v>
      </c>
      <c r="J28" s="28">
        <f t="shared" si="110"/>
        <v>80.637165801910172</v>
      </c>
      <c r="K28" s="28">
        <f t="shared" si="110"/>
        <v>88.700882382101199</v>
      </c>
      <c r="L28" s="37">
        <f t="shared" si="110"/>
        <v>75.679962986218968</v>
      </c>
      <c r="M28" s="28">
        <f t="shared" si="110"/>
        <v>83.247959284840874</v>
      </c>
      <c r="N28" s="29">
        <f t="shared" ref="N28" si="136">F28/$L$3</f>
        <v>1.2618949110467521</v>
      </c>
      <c r="O28" s="29">
        <f t="shared" ref="O28" si="137">G28/$L$3</f>
        <v>1.3880844021514276</v>
      </c>
      <c r="P28" s="37">
        <f t="shared" si="93"/>
        <v>1.1843194042201075</v>
      </c>
      <c r="Q28" s="29">
        <f>I28/$L$3</f>
        <v>1.3027513446421184</v>
      </c>
      <c r="R28" s="30">
        <f t="shared" ref="R28" si="138">F28/$M$3</f>
        <v>1.0986042323277803</v>
      </c>
      <c r="S28" s="30">
        <f t="shared" ref="S28:S33" si="139">G28/$M$3</f>
        <v>1.2084646555605583</v>
      </c>
      <c r="T28" s="37">
        <f t="shared" si="97"/>
        <v>1.0310670868977938</v>
      </c>
      <c r="U28" s="30">
        <f t="shared" ref="U28" si="140">I28/$M$3</f>
        <v>1.1341737955875733</v>
      </c>
    </row>
    <row r="29" spans="1:21" ht="86.25" hidden="1" customHeight="1">
      <c r="B29" s="43" t="s">
        <v>101</v>
      </c>
      <c r="C29" s="13" t="s">
        <v>63</v>
      </c>
      <c r="D29" s="14">
        <v>1420</v>
      </c>
      <c r="E29" s="41" t="s">
        <v>4</v>
      </c>
      <c r="F29" s="82">
        <v>2.57</v>
      </c>
      <c r="G29" s="82">
        <f t="shared" si="89"/>
        <v>2.827</v>
      </c>
      <c r="H29" s="85">
        <v>2.41</v>
      </c>
      <c r="I29" s="88">
        <f t="shared" si="64"/>
        <v>2.6510000000000002</v>
      </c>
      <c r="J29" s="28">
        <f t="shared" si="13"/>
        <v>84.933408242175872</v>
      </c>
      <c r="K29" s="28">
        <f t="shared" si="14"/>
        <v>93.426749066393469</v>
      </c>
      <c r="L29" s="37">
        <f t="shared" si="65"/>
        <v>79.645725238771931</v>
      </c>
      <c r="M29" s="28">
        <f t="shared" si="15"/>
        <v>87.610297762649139</v>
      </c>
      <c r="N29" s="29">
        <f t="shared" si="16"/>
        <v>1.3291270169631775</v>
      </c>
      <c r="O29" s="29">
        <f t="shared" si="42"/>
        <v>1.4620397186594953</v>
      </c>
      <c r="P29" s="37">
        <f t="shared" si="43"/>
        <v>1.2463798096814234</v>
      </c>
      <c r="Q29" s="29">
        <f t="shared" si="44"/>
        <v>1.3710177906495657</v>
      </c>
      <c r="R29" s="30">
        <f t="shared" si="45"/>
        <v>1.1571364250337683</v>
      </c>
      <c r="S29" s="30">
        <f t="shared" si="139"/>
        <v>1.2728500675371455</v>
      </c>
      <c r="T29" s="37">
        <f t="shared" si="47"/>
        <v>1.0850968032417829</v>
      </c>
      <c r="U29" s="30">
        <f t="shared" si="48"/>
        <v>1.1936064835659614</v>
      </c>
    </row>
    <row r="30" spans="1:21" ht="81" hidden="1" customHeight="1">
      <c r="B30" s="43" t="s">
        <v>1</v>
      </c>
      <c r="C30" s="13" t="s">
        <v>70</v>
      </c>
      <c r="D30" s="14">
        <v>1420</v>
      </c>
      <c r="E30" s="41" t="s">
        <v>4</v>
      </c>
      <c r="F30" s="82">
        <v>21750</v>
      </c>
      <c r="G30" s="82">
        <f t="shared" si="89"/>
        <v>23925.000000000004</v>
      </c>
      <c r="H30" s="85">
        <v>20400</v>
      </c>
      <c r="I30" s="88">
        <f t="shared" si="64"/>
        <v>22440</v>
      </c>
      <c r="J30" s="28">
        <f t="shared" si="13"/>
        <v>718794.40827522392</v>
      </c>
      <c r="K30" s="28">
        <f t="shared" si="14"/>
        <v>790673.84910274635</v>
      </c>
      <c r="L30" s="37">
        <f t="shared" si="65"/>
        <v>674179.58293400309</v>
      </c>
      <c r="M30" s="28">
        <f t="shared" si="15"/>
        <v>741597.54122740345</v>
      </c>
      <c r="N30" s="29">
        <f t="shared" si="16"/>
        <v>11248.448489863467</v>
      </c>
      <c r="O30" s="29">
        <f t="shared" si="42"/>
        <v>12373.293338849815</v>
      </c>
      <c r="P30" s="37">
        <f t="shared" si="43"/>
        <v>10550.268928423666</v>
      </c>
      <c r="Q30" s="29">
        <f t="shared" si="44"/>
        <v>11605.295821266032</v>
      </c>
      <c r="R30" s="30">
        <f t="shared" si="45"/>
        <v>9792.8860873480407</v>
      </c>
      <c r="S30" s="30">
        <f t="shared" si="139"/>
        <v>10772.174696082846</v>
      </c>
      <c r="T30" s="37">
        <f t="shared" si="47"/>
        <v>9185.0517784781623</v>
      </c>
      <c r="U30" s="30">
        <f t="shared" si="48"/>
        <v>10103.55695632598</v>
      </c>
    </row>
    <row r="31" spans="1:21" s="46" customFormat="1" ht="89.25" hidden="1" customHeight="1">
      <c r="A31" s="45"/>
      <c r="B31" s="13" t="s">
        <v>102</v>
      </c>
      <c r="C31" s="13" t="s">
        <v>70</v>
      </c>
      <c r="D31" s="14">
        <v>1420</v>
      </c>
      <c r="E31" s="41" t="s">
        <v>4</v>
      </c>
      <c r="F31" s="82">
        <v>2.79</v>
      </c>
      <c r="G31" s="82">
        <f t="shared" si="89"/>
        <v>3.0690000000000004</v>
      </c>
      <c r="H31" s="85">
        <v>2.62</v>
      </c>
      <c r="I31" s="88">
        <f t="shared" si="64"/>
        <v>2.8820000000000001</v>
      </c>
      <c r="J31" s="28">
        <f t="shared" ref="J31:M35" si="141">F31/$K$3</f>
        <v>92.20397237185631</v>
      </c>
      <c r="K31" s="28">
        <f t="shared" si="141"/>
        <v>101.42436960904195</v>
      </c>
      <c r="L31" s="37">
        <f t="shared" si="141"/>
        <v>86.585809180739616</v>
      </c>
      <c r="M31" s="28">
        <f t="shared" si="141"/>
        <v>95.244390098813582</v>
      </c>
      <c r="N31" s="29">
        <f t="shared" si="16"/>
        <v>1.4429044269755895</v>
      </c>
      <c r="O31" s="29">
        <f t="shared" si="42"/>
        <v>1.5871948696731488</v>
      </c>
      <c r="P31" s="37">
        <f>H31/$L$3</f>
        <v>1.3549855192387257</v>
      </c>
      <c r="Q31" s="29">
        <f t="shared" si="44"/>
        <v>1.4904840711625984</v>
      </c>
      <c r="R31" s="30">
        <f t="shared" si="45"/>
        <v>1.2561909049977487</v>
      </c>
      <c r="S31" s="30">
        <f t="shared" si="139"/>
        <v>1.3818099954975238</v>
      </c>
      <c r="T31" s="37">
        <f>H31/$M$3</f>
        <v>1.1796488068437641</v>
      </c>
      <c r="U31" s="30">
        <f t="shared" si="48"/>
        <v>1.2976136875281405</v>
      </c>
    </row>
    <row r="32" spans="1:21" s="46" customFormat="1" ht="84.75" hidden="1" customHeight="1">
      <c r="A32" s="45"/>
      <c r="B32" s="13" t="s">
        <v>100</v>
      </c>
      <c r="C32" s="13" t="s">
        <v>68</v>
      </c>
      <c r="D32" s="14">
        <v>3000</v>
      </c>
      <c r="E32" s="15" t="s">
        <v>3</v>
      </c>
      <c r="F32" s="82">
        <f>2.94+0.66</f>
        <v>3.6</v>
      </c>
      <c r="G32" s="82">
        <f t="shared" si="63"/>
        <v>3.9600000000000004</v>
      </c>
      <c r="H32" s="85">
        <f>2.76+0.66</f>
        <v>3.42</v>
      </c>
      <c r="I32" s="88">
        <f t="shared" si="64"/>
        <v>3.762</v>
      </c>
      <c r="J32" s="28">
        <f>F32/$K$3</f>
        <v>118.97286757658878</v>
      </c>
      <c r="K32" s="28">
        <f>G32/$K$3</f>
        <v>130.87015433424767</v>
      </c>
      <c r="L32" s="37">
        <f t="shared" si="141"/>
        <v>113.02422419775934</v>
      </c>
      <c r="M32" s="37">
        <f t="shared" si="141"/>
        <v>124.32664661753527</v>
      </c>
      <c r="N32" s="37">
        <f t="shared" si="16"/>
        <v>1.8618121638394705</v>
      </c>
      <c r="O32" s="37">
        <f t="shared" si="42"/>
        <v>2.0479933802234176</v>
      </c>
      <c r="P32" s="37">
        <f>H32/$L$3</f>
        <v>1.7687215556474969</v>
      </c>
      <c r="Q32" s="37">
        <f t="shared" si="44"/>
        <v>1.9455937112122466</v>
      </c>
      <c r="R32" s="37">
        <f t="shared" si="45"/>
        <v>1.6208914903196758</v>
      </c>
      <c r="S32" s="37">
        <f t="shared" si="139"/>
        <v>1.7829806393516434</v>
      </c>
      <c r="T32" s="37">
        <f>H32/$M$3</f>
        <v>1.539846915803692</v>
      </c>
      <c r="U32" s="37">
        <f t="shared" si="48"/>
        <v>1.6938316073840611</v>
      </c>
    </row>
    <row r="33" spans="1:28" s="46" customFormat="1" ht="85.5" customHeight="1">
      <c r="A33" s="45"/>
      <c r="B33" s="13" t="s">
        <v>41</v>
      </c>
      <c r="C33" s="13" t="s">
        <v>67</v>
      </c>
      <c r="D33" s="14">
        <v>3000</v>
      </c>
      <c r="E33" s="15" t="s">
        <v>3</v>
      </c>
      <c r="F33" s="82">
        <f>4.38+0.66</f>
        <v>5.04</v>
      </c>
      <c r="G33" s="82">
        <f t="shared" si="63"/>
        <v>5.5440000000000005</v>
      </c>
      <c r="H33" s="83">
        <f>4.11+0.66</f>
        <v>4.7700000000000005</v>
      </c>
      <c r="I33" s="88">
        <f t="shared" si="64"/>
        <v>5.2470000000000008</v>
      </c>
      <c r="J33" s="28">
        <f t="shared" si="141"/>
        <v>166.56201460722428</v>
      </c>
      <c r="K33" s="28">
        <f t="shared" si="141"/>
        <v>183.21821606794674</v>
      </c>
      <c r="L33" s="37">
        <f t="shared" si="141"/>
        <v>157.63904953898015</v>
      </c>
      <c r="M33" s="28">
        <f t="shared" si="141"/>
        <v>173.40295449287817</v>
      </c>
      <c r="N33" s="29">
        <f t="shared" si="16"/>
        <v>2.6065370293752586</v>
      </c>
      <c r="O33" s="29">
        <f t="shared" si="42"/>
        <v>2.8671907323127845</v>
      </c>
      <c r="P33" s="37">
        <f>H33/$L$3</f>
        <v>2.4669011170872985</v>
      </c>
      <c r="Q33" s="29">
        <f t="shared" si="44"/>
        <v>2.7135912287960284</v>
      </c>
      <c r="R33" s="30">
        <f t="shared" si="45"/>
        <v>2.2692480864475462</v>
      </c>
      <c r="S33" s="30">
        <f t="shared" si="139"/>
        <v>2.4961728950923008</v>
      </c>
      <c r="T33" s="37">
        <f>H33/$M$3</f>
        <v>2.1476812246735708</v>
      </c>
      <c r="U33" s="30">
        <f t="shared" si="48"/>
        <v>2.3624493471409278</v>
      </c>
      <c r="V33" s="45"/>
      <c r="W33" s="45"/>
      <c r="X33" s="45"/>
      <c r="Y33" s="45"/>
      <c r="Z33" s="45"/>
      <c r="AA33" s="45"/>
      <c r="AB33" s="45"/>
    </row>
    <row r="34" spans="1:28" ht="90" customHeight="1">
      <c r="B34" s="13" t="s">
        <v>44</v>
      </c>
      <c r="C34" s="13" t="s">
        <v>66</v>
      </c>
      <c r="D34" s="14">
        <v>3000</v>
      </c>
      <c r="E34" s="15" t="s">
        <v>3</v>
      </c>
      <c r="F34" s="82">
        <f>3.47+0.66</f>
        <v>4.13</v>
      </c>
      <c r="G34" s="82">
        <f t="shared" ref="G34" si="142">F34*1.1</f>
        <v>4.5430000000000001</v>
      </c>
      <c r="H34" s="83">
        <f>3.26+0.66</f>
        <v>3.92</v>
      </c>
      <c r="I34" s="88">
        <f t="shared" ref="I34" si="143">H34+0.1*H34</f>
        <v>4.3120000000000003</v>
      </c>
      <c r="J34" s="28">
        <f t="shared" si="141"/>
        <v>136.48831752536435</v>
      </c>
      <c r="K34" s="28">
        <f t="shared" si="141"/>
        <v>150.13714927790079</v>
      </c>
      <c r="L34" s="37">
        <f t="shared" si="141"/>
        <v>129.54823358339667</v>
      </c>
      <c r="M34" s="28">
        <f t="shared" si="141"/>
        <v>142.50305694173633</v>
      </c>
      <c r="N34" s="29">
        <f>F34/$L$3</f>
        <v>2.1359122879602812</v>
      </c>
      <c r="O34" s="29">
        <f t="shared" ref="O34" si="144">G34/$L$3</f>
        <v>2.3495035167563096</v>
      </c>
      <c r="P34" s="37">
        <f t="shared" ref="P34" si="145">H34/$L$3</f>
        <v>2.0273065784029787</v>
      </c>
      <c r="Q34" s="29">
        <f t="shared" ref="Q34" si="146">I34/$L$3</f>
        <v>2.2300372362432768</v>
      </c>
      <c r="R34" s="30">
        <f t="shared" ref="R34" si="147">F34/$M$3</f>
        <v>1.859522737505628</v>
      </c>
      <c r="S34" s="30">
        <f t="shared" ref="S34" si="148">G34/$M$3</f>
        <v>2.0454750112561908</v>
      </c>
      <c r="T34" s="37">
        <f t="shared" ref="T34" si="149">H34/$M$3</f>
        <v>1.7649707339036469</v>
      </c>
      <c r="U34" s="30">
        <f t="shared" ref="U34" si="150">I34/$M$3</f>
        <v>1.9414678072940117</v>
      </c>
      <c r="V34" s="45"/>
      <c r="W34" s="45"/>
      <c r="X34" s="45"/>
      <c r="Y34" s="45"/>
      <c r="Z34" s="45"/>
      <c r="AA34" s="45"/>
      <c r="AB34" s="45"/>
    </row>
    <row r="35" spans="1:28" ht="79.5" customHeight="1">
      <c r="B35" s="65" t="s">
        <v>112</v>
      </c>
      <c r="C35" s="66" t="s">
        <v>71</v>
      </c>
      <c r="D35" s="67">
        <v>3000</v>
      </c>
      <c r="E35" s="68" t="s">
        <v>3</v>
      </c>
      <c r="F35" s="86">
        <f>4.12+0.66</f>
        <v>4.78</v>
      </c>
      <c r="G35" s="82">
        <f t="shared" ref="G35:G36" si="151">F35*1.1</f>
        <v>5.2580000000000009</v>
      </c>
      <c r="H35" s="87">
        <f>3.87+0.66</f>
        <v>4.53</v>
      </c>
      <c r="I35" s="88">
        <f t="shared" ref="I35:I36" si="152">H35+0.1*H35</f>
        <v>4.9830000000000005</v>
      </c>
      <c r="J35" s="28">
        <f t="shared" si="141"/>
        <v>157.96952972669288</v>
      </c>
      <c r="K35" s="28">
        <f t="shared" si="141"/>
        <v>173.7664826993622</v>
      </c>
      <c r="L35" s="37">
        <f t="shared" si="141"/>
        <v>149.70752503387422</v>
      </c>
      <c r="M35" s="28">
        <f t="shared" si="141"/>
        <v>164.67827753726166</v>
      </c>
      <c r="N35" s="29">
        <f t="shared" ref="N35" si="153">F35/$L$3</f>
        <v>2.4720728175424083</v>
      </c>
      <c r="O35" s="29">
        <f t="shared" ref="O35:O36" si="154">G35/$L$3</f>
        <v>2.719280099296649</v>
      </c>
      <c r="P35" s="37">
        <f t="shared" ref="P35:P36" si="155">H35/$L$3</f>
        <v>2.3427803061646673</v>
      </c>
      <c r="Q35" s="29">
        <f t="shared" ref="Q35:Q36" si="156">I35/$L$3</f>
        <v>2.5770583367811337</v>
      </c>
      <c r="R35" s="30">
        <f t="shared" ref="R35:R36" si="157">F35/$M$3</f>
        <v>2.1521837010355696</v>
      </c>
      <c r="S35" s="30">
        <f t="shared" ref="S35:S36" si="158">G35/$M$3</f>
        <v>2.3674020711391268</v>
      </c>
      <c r="T35" s="37">
        <f t="shared" ref="T35:T36" si="159">H35/$M$3</f>
        <v>2.0396217919855921</v>
      </c>
      <c r="U35" s="30">
        <f t="shared" ref="U35:U36" si="160">I35/$M$3</f>
        <v>2.2435839711841514</v>
      </c>
      <c r="V35" s="45"/>
      <c r="W35" s="45"/>
      <c r="X35" s="45"/>
      <c r="Y35" s="45"/>
      <c r="Z35" s="45"/>
      <c r="AA35" s="45"/>
      <c r="AB35" s="45"/>
    </row>
    <row r="36" spans="1:28" ht="86.25" hidden="1" customHeight="1">
      <c r="B36" s="75" t="s">
        <v>43</v>
      </c>
      <c r="C36" s="66" t="s">
        <v>48</v>
      </c>
      <c r="D36" s="67">
        <v>3000</v>
      </c>
      <c r="E36" s="68" t="s">
        <v>3</v>
      </c>
      <c r="F36" s="82">
        <f>3.06+0.66</f>
        <v>3.72</v>
      </c>
      <c r="G36" s="82">
        <f t="shared" si="151"/>
        <v>4.0920000000000005</v>
      </c>
      <c r="H36" s="83">
        <f>2.88+0.66</f>
        <v>3.54</v>
      </c>
      <c r="I36" s="88">
        <f t="shared" si="152"/>
        <v>3.8940000000000001</v>
      </c>
      <c r="J36" s="28">
        <f t="shared" ref="J36:J38" si="161">F36/$K$3</f>
        <v>122.93862982914175</v>
      </c>
      <c r="K36" s="28">
        <f t="shared" ref="K36:K38" si="162">G36/$K$3</f>
        <v>135.23249281205594</v>
      </c>
      <c r="L36" s="37">
        <f t="shared" ref="L36:L38" si="163">H36/$K$3</f>
        <v>116.9899864503123</v>
      </c>
      <c r="M36" s="28">
        <f t="shared" ref="M36:M38" si="164">I36/$K$3</f>
        <v>128.68898509534353</v>
      </c>
      <c r="N36" s="29">
        <f>F36/$L$3</f>
        <v>1.9238725693007863</v>
      </c>
      <c r="O36" s="29">
        <f t="shared" si="154"/>
        <v>2.1162598262308649</v>
      </c>
      <c r="P36" s="37">
        <f t="shared" si="155"/>
        <v>1.8307819611088125</v>
      </c>
      <c r="Q36" s="29">
        <f t="shared" si="156"/>
        <v>2.0138601572196939</v>
      </c>
      <c r="R36" s="30">
        <f t="shared" si="157"/>
        <v>1.674921206663665</v>
      </c>
      <c r="S36" s="30">
        <f t="shared" si="158"/>
        <v>1.8424133273300316</v>
      </c>
      <c r="T36" s="37">
        <f t="shared" si="159"/>
        <v>1.5938766321476812</v>
      </c>
      <c r="U36" s="30">
        <f t="shared" si="160"/>
        <v>1.7532642953624493</v>
      </c>
      <c r="V36" s="45"/>
      <c r="W36" s="45"/>
      <c r="X36" s="45"/>
      <c r="Y36" s="45"/>
      <c r="Z36" s="45"/>
      <c r="AA36" s="45"/>
      <c r="AB36" s="45"/>
    </row>
    <row r="37" spans="1:28" ht="56.25" hidden="1" customHeight="1">
      <c r="B37" s="65" t="s">
        <v>87</v>
      </c>
      <c r="C37" s="66" t="s">
        <v>88</v>
      </c>
      <c r="D37" s="67">
        <v>3000</v>
      </c>
      <c r="E37" s="68" t="s">
        <v>3</v>
      </c>
      <c r="F37" s="86"/>
      <c r="G37" s="82">
        <f t="shared" ref="G37:G38" si="165">F37*1.1</f>
        <v>0</v>
      </c>
      <c r="H37" s="87">
        <f>29900+6600</f>
        <v>36500</v>
      </c>
      <c r="I37" s="88">
        <f t="shared" ref="I37:I38" si="166">H37+0.1*H37</f>
        <v>40150</v>
      </c>
      <c r="J37" s="28">
        <f t="shared" si="161"/>
        <v>0</v>
      </c>
      <c r="K37" s="28">
        <f t="shared" si="162"/>
        <v>0</v>
      </c>
      <c r="L37" s="37">
        <f t="shared" si="163"/>
        <v>1206252.6851515251</v>
      </c>
      <c r="M37" s="28">
        <f t="shared" si="164"/>
        <v>1326877.9536666777</v>
      </c>
      <c r="N37" s="29">
        <f t="shared" ref="N37:N38" si="167">F37/$L$3</f>
        <v>0</v>
      </c>
      <c r="O37" s="29">
        <f t="shared" ref="O37:O38" si="168">G37/$L$3</f>
        <v>0</v>
      </c>
      <c r="P37" s="37">
        <f t="shared" ref="P37:P38" si="169">H37/$L$3</f>
        <v>18876.706661150187</v>
      </c>
      <c r="Q37" s="29">
        <f t="shared" ref="Q37:Q38" si="170">I37/$L$3</f>
        <v>20764.377327265203</v>
      </c>
      <c r="R37" s="30">
        <f t="shared" ref="R37:R38" si="171">F37/$M$3</f>
        <v>0</v>
      </c>
      <c r="S37" s="30">
        <f t="shared" ref="S37:S38" si="172">G37/$M$3</f>
        <v>0</v>
      </c>
      <c r="T37" s="37">
        <f t="shared" ref="T37:T38" si="173">H37/$M$3</f>
        <v>16434.038721296714</v>
      </c>
      <c r="U37" s="30">
        <f t="shared" ref="U37:U38" si="174">I37/$M$3</f>
        <v>18077.442593426385</v>
      </c>
      <c r="V37" s="45"/>
      <c r="W37" s="45"/>
      <c r="X37" s="45"/>
      <c r="Y37" s="45"/>
      <c r="Z37" s="45"/>
      <c r="AA37" s="45"/>
      <c r="AB37" s="45"/>
    </row>
    <row r="38" spans="1:28" ht="87" hidden="1" customHeight="1">
      <c r="B38" s="65" t="s">
        <v>50</v>
      </c>
      <c r="C38" s="66" t="s">
        <v>88</v>
      </c>
      <c r="D38" s="67">
        <v>3000</v>
      </c>
      <c r="E38" s="68" t="s">
        <v>3</v>
      </c>
      <c r="F38" s="86">
        <f>3.2+0.66</f>
        <v>3.8600000000000003</v>
      </c>
      <c r="G38" s="82">
        <f t="shared" si="165"/>
        <v>4.2460000000000004</v>
      </c>
      <c r="H38" s="87">
        <f>3.02+0.66</f>
        <v>3.68</v>
      </c>
      <c r="I38" s="88">
        <f t="shared" si="166"/>
        <v>4.048</v>
      </c>
      <c r="J38" s="28">
        <f t="shared" si="161"/>
        <v>127.5653524571202</v>
      </c>
      <c r="K38" s="28">
        <f t="shared" si="162"/>
        <v>140.32188770283221</v>
      </c>
      <c r="L38" s="37">
        <f t="shared" si="163"/>
        <v>121.61670907829075</v>
      </c>
      <c r="M38" s="28">
        <f t="shared" si="164"/>
        <v>133.77837998611983</v>
      </c>
      <c r="N38" s="29">
        <f t="shared" si="167"/>
        <v>1.9962763756723212</v>
      </c>
      <c r="O38" s="29">
        <f t="shared" si="168"/>
        <v>2.1959040132395535</v>
      </c>
      <c r="P38" s="37">
        <f t="shared" si="169"/>
        <v>1.9031857674803476</v>
      </c>
      <c r="Q38" s="29">
        <f t="shared" si="170"/>
        <v>2.0935043442283825</v>
      </c>
      <c r="R38" s="30">
        <f t="shared" si="171"/>
        <v>1.7379558757316524</v>
      </c>
      <c r="S38" s="30">
        <f t="shared" si="172"/>
        <v>1.9117514633048178</v>
      </c>
      <c r="T38" s="37">
        <f t="shared" si="173"/>
        <v>1.6569113012156687</v>
      </c>
      <c r="U38" s="30">
        <f t="shared" si="174"/>
        <v>1.8226024313372353</v>
      </c>
      <c r="V38" s="45"/>
      <c r="W38" s="45"/>
      <c r="X38" s="45"/>
      <c r="Y38" s="45"/>
      <c r="Z38" s="45"/>
      <c r="AA38" s="45"/>
      <c r="AB38" s="45"/>
    </row>
    <row r="39" spans="1:28" ht="18" hidden="1" customHeight="1">
      <c r="B39" s="104" t="s">
        <v>11</v>
      </c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6"/>
      <c r="V39" s="45"/>
    </row>
    <row r="40" spans="1:28" ht="78" hidden="1" customHeight="1">
      <c r="B40" s="64" t="s">
        <v>51</v>
      </c>
      <c r="C40" s="13" t="s">
        <v>72</v>
      </c>
      <c r="D40" s="71">
        <v>610</v>
      </c>
      <c r="E40" s="15" t="s">
        <v>5</v>
      </c>
      <c r="F40" s="19">
        <f>13150+390</f>
        <v>13540</v>
      </c>
      <c r="G40" s="19">
        <f>F40*1.1</f>
        <v>14894.000000000002</v>
      </c>
      <c r="H40" s="42">
        <f>12400+390</f>
        <v>12790</v>
      </c>
      <c r="I40" s="12">
        <f>H40+0.1*H40</f>
        <v>14069</v>
      </c>
      <c r="J40" s="28">
        <f t="shared" ref="J40" si="175">F40/$K$3</f>
        <v>447470.17416305892</v>
      </c>
      <c r="K40" s="28">
        <f t="shared" ref="K40" si="176">G40/$K$3</f>
        <v>492217.19157936488</v>
      </c>
      <c r="L40" s="37">
        <f>H40/$K$3</f>
        <v>422684.16008460289</v>
      </c>
      <c r="M40" s="28">
        <f t="shared" ref="M40" si="177">I40/$K$3</f>
        <v>464952.57609306322</v>
      </c>
      <c r="N40" s="29">
        <f t="shared" ref="N40" si="178">F40/$L$3</f>
        <v>7002.4824162184523</v>
      </c>
      <c r="O40" s="29">
        <f t="shared" ref="O40" si="179">G40/$L$3</f>
        <v>7702.7306578402986</v>
      </c>
      <c r="P40" s="37">
        <f t="shared" ref="P40" si="180">H40/$L$3</f>
        <v>6614.6048820852293</v>
      </c>
      <c r="Q40" s="29">
        <f t="shared" ref="Q40" si="181">I40/$L$3</f>
        <v>7276.0653702937525</v>
      </c>
      <c r="R40" s="30">
        <f t="shared" ref="R40" si="182">F40/$M$3</f>
        <v>6096.3529941467805</v>
      </c>
      <c r="S40" s="30">
        <f t="shared" ref="S40" si="183">G40/$M$3</f>
        <v>6705.9882935614596</v>
      </c>
      <c r="T40" s="37">
        <f t="shared" ref="T40" si="184">H40/$M$3</f>
        <v>5758.6672669968484</v>
      </c>
      <c r="U40" s="30">
        <f t="shared" ref="U40" si="185">I40/$M$3</f>
        <v>6334.5339936965329</v>
      </c>
    </row>
    <row r="41" spans="1:28" ht="78" hidden="1" customHeight="1">
      <c r="B41" s="64" t="s">
        <v>23</v>
      </c>
      <c r="C41" s="13" t="s">
        <v>73</v>
      </c>
      <c r="D41" s="71">
        <v>550</v>
      </c>
      <c r="E41" s="15" t="s">
        <v>5</v>
      </c>
      <c r="F41" s="19">
        <v>16530</v>
      </c>
      <c r="G41" s="19">
        <f t="shared" ref="G41" si="186">F41*1.1</f>
        <v>18183</v>
      </c>
      <c r="H41" s="42">
        <v>15520</v>
      </c>
      <c r="I41" s="12">
        <f t="shared" ref="I41" si="187">H41+0.1*H41</f>
        <v>17072</v>
      </c>
      <c r="J41" s="28">
        <f t="shared" ref="J41:M42" si="188">F41/$K$3</f>
        <v>546283.75028917019</v>
      </c>
      <c r="K41" s="28">
        <f t="shared" si="188"/>
        <v>600912.12531808717</v>
      </c>
      <c r="L41" s="37">
        <f t="shared" si="188"/>
        <v>512905.25133018271</v>
      </c>
      <c r="M41" s="28">
        <f t="shared" si="188"/>
        <v>564195.77646320104</v>
      </c>
      <c r="N41" s="29">
        <f t="shared" ref="N41:N42" si="189">F41/$L$3</f>
        <v>8548.8208522962359</v>
      </c>
      <c r="O41" s="29">
        <f t="shared" ref="O41:O42" si="190">G41/$L$3</f>
        <v>9403.7029375258589</v>
      </c>
      <c r="P41" s="37">
        <f t="shared" ref="P41" si="191">H41/$L$3</f>
        <v>8026.4791063301618</v>
      </c>
      <c r="Q41" s="29">
        <f t="shared" ref="Q41:Q42" si="192">I41/$L$3</f>
        <v>8829.1270169631771</v>
      </c>
      <c r="R41" s="30">
        <f t="shared" ref="R41:R42" si="193">F41/$M$3</f>
        <v>7442.5934263845111</v>
      </c>
      <c r="S41" s="30">
        <f t="shared" ref="S41:S42" si="194">G41/$M$3</f>
        <v>8186.8527690229621</v>
      </c>
      <c r="T41" s="37">
        <f t="shared" ref="T41" si="195">H41/$M$3</f>
        <v>6987.8433138226019</v>
      </c>
      <c r="U41" s="30">
        <f t="shared" ref="U41:U42" si="196">I41/$M$3</f>
        <v>7686.6276452048623</v>
      </c>
    </row>
    <row r="42" spans="1:28" s="46" customFormat="1" ht="36.75" hidden="1" customHeight="1">
      <c r="A42" s="45"/>
      <c r="B42" s="13" t="s">
        <v>15</v>
      </c>
      <c r="C42" s="13" t="s">
        <v>115</v>
      </c>
      <c r="D42" s="14">
        <v>610</v>
      </c>
      <c r="E42" s="15" t="s">
        <v>5</v>
      </c>
      <c r="F42" s="82">
        <f>1.53+0.04</f>
        <v>1.57</v>
      </c>
      <c r="G42" s="82">
        <f t="shared" ref="G42:G45" si="197">F42*1.1</f>
        <v>1.7270000000000003</v>
      </c>
      <c r="H42" s="85">
        <f>1.44+0.04</f>
        <v>1.48</v>
      </c>
      <c r="I42" s="84">
        <f t="shared" ref="I42:I68" si="198">H42+0.1*H42</f>
        <v>1.6279999999999999</v>
      </c>
      <c r="J42" s="28">
        <f t="shared" si="188"/>
        <v>51.885389470901217</v>
      </c>
      <c r="K42" s="28">
        <f t="shared" si="188"/>
        <v>57.073928417991347</v>
      </c>
      <c r="L42" s="37">
        <f t="shared" si="188"/>
        <v>48.911067781486494</v>
      </c>
      <c r="M42" s="28">
        <f t="shared" si="188"/>
        <v>53.802174559635141</v>
      </c>
      <c r="N42" s="29">
        <f t="shared" si="189"/>
        <v>0.81195697145221357</v>
      </c>
      <c r="O42" s="29">
        <f t="shared" si="190"/>
        <v>0.89315266859743503</v>
      </c>
      <c r="P42" s="37">
        <f>H42/$L$3</f>
        <v>0.76541166735622668</v>
      </c>
      <c r="Q42" s="29">
        <f t="shared" si="192"/>
        <v>0.8419528340918494</v>
      </c>
      <c r="R42" s="30">
        <f t="shared" si="193"/>
        <v>0.70688878883385864</v>
      </c>
      <c r="S42" s="30">
        <f t="shared" si="194"/>
        <v>0.77757766771724457</v>
      </c>
      <c r="T42" s="37">
        <f>H42/$M$3</f>
        <v>0.66636650157586674</v>
      </c>
      <c r="U42" s="30">
        <f t="shared" si="196"/>
        <v>0.73300315173345332</v>
      </c>
      <c r="V42" s="3"/>
      <c r="W42" s="48"/>
      <c r="X42" s="48"/>
      <c r="Y42" s="48"/>
      <c r="Z42" s="48"/>
      <c r="AA42" s="45"/>
      <c r="AB42" s="45"/>
    </row>
    <row r="43" spans="1:28" ht="78" hidden="1" customHeight="1">
      <c r="B43" s="13" t="s">
        <v>54</v>
      </c>
      <c r="C43" s="13" t="s">
        <v>74</v>
      </c>
      <c r="D43" s="14">
        <v>450</v>
      </c>
      <c r="E43" s="15" t="s">
        <v>5</v>
      </c>
      <c r="F43" s="78">
        <v>0.69</v>
      </c>
      <c r="G43" s="78">
        <f t="shared" si="197"/>
        <v>0.75900000000000001</v>
      </c>
      <c r="H43" s="79"/>
      <c r="I43" s="80">
        <f t="shared" si="198"/>
        <v>0</v>
      </c>
      <c r="J43" s="28">
        <f t="shared" ref="J43:J45" si="199">F43/$K$3</f>
        <v>22.803132952179514</v>
      </c>
      <c r="K43" s="28">
        <f t="shared" ref="K43:K45" si="200">G43/$K$3</f>
        <v>25.083446247397468</v>
      </c>
      <c r="L43" s="37">
        <f t="shared" ref="L43:L45" si="201">H43/$K$3</f>
        <v>0</v>
      </c>
      <c r="M43" s="28">
        <f t="shared" ref="M43:M45" si="202">I43/$K$3</f>
        <v>0</v>
      </c>
      <c r="N43" s="29">
        <f t="shared" ref="N43:N45" si="203">F43/$L$3</f>
        <v>0.35684733140256514</v>
      </c>
      <c r="O43" s="29">
        <f t="shared" ref="O43:O45" si="204">G43/$L$3</f>
        <v>0.39253206454282169</v>
      </c>
      <c r="P43" s="37">
        <f t="shared" ref="P43:P45" si="205">H43/$L$3</f>
        <v>0</v>
      </c>
      <c r="Q43" s="29">
        <f t="shared" ref="Q43:Q45" si="206">I43/$L$3</f>
        <v>0</v>
      </c>
      <c r="R43" s="30">
        <f t="shared" ref="R43:R45" si="207">F43/$M$3</f>
        <v>0.31067086897793783</v>
      </c>
      <c r="S43" s="30">
        <f t="shared" ref="S43:S45" si="208">G43/$M$3</f>
        <v>0.34173795587573164</v>
      </c>
      <c r="T43" s="37">
        <f t="shared" ref="T43:T45" si="209">H43/$M$3</f>
        <v>0</v>
      </c>
      <c r="U43" s="30">
        <f t="shared" ref="U43:U45" si="210">I43/$M$3</f>
        <v>0</v>
      </c>
      <c r="V43" s="48"/>
    </row>
    <row r="44" spans="1:28" ht="81.75" hidden="1" customHeight="1">
      <c r="B44" s="13" t="s">
        <v>55</v>
      </c>
      <c r="C44" s="13" t="s">
        <v>74</v>
      </c>
      <c r="D44" s="14">
        <v>450</v>
      </c>
      <c r="E44" s="15" t="s">
        <v>5</v>
      </c>
      <c r="F44" s="78">
        <v>0.69</v>
      </c>
      <c r="G44" s="78">
        <f t="shared" si="197"/>
        <v>0.75900000000000001</v>
      </c>
      <c r="H44" s="79"/>
      <c r="I44" s="80">
        <f t="shared" si="198"/>
        <v>0</v>
      </c>
      <c r="J44" s="28">
        <f t="shared" si="199"/>
        <v>22.803132952179514</v>
      </c>
      <c r="K44" s="28">
        <f t="shared" si="200"/>
        <v>25.083446247397468</v>
      </c>
      <c r="L44" s="37">
        <f t="shared" si="201"/>
        <v>0</v>
      </c>
      <c r="M44" s="28">
        <f t="shared" si="202"/>
        <v>0</v>
      </c>
      <c r="N44" s="29">
        <f t="shared" si="203"/>
        <v>0.35684733140256514</v>
      </c>
      <c r="O44" s="29">
        <f t="shared" si="204"/>
        <v>0.39253206454282169</v>
      </c>
      <c r="P44" s="37">
        <f t="shared" si="205"/>
        <v>0</v>
      </c>
      <c r="Q44" s="29">
        <f t="shared" si="206"/>
        <v>0</v>
      </c>
      <c r="R44" s="30">
        <f t="shared" si="207"/>
        <v>0.31067086897793783</v>
      </c>
      <c r="S44" s="30">
        <f t="shared" si="208"/>
        <v>0.34173795587573164</v>
      </c>
      <c r="T44" s="37">
        <f t="shared" si="209"/>
        <v>0</v>
      </c>
      <c r="U44" s="30">
        <f t="shared" si="210"/>
        <v>0</v>
      </c>
    </row>
    <row r="45" spans="1:28" ht="33" hidden="1" customHeight="1">
      <c r="B45" s="13" t="s">
        <v>56</v>
      </c>
      <c r="C45" s="13" t="s">
        <v>75</v>
      </c>
      <c r="D45" s="14">
        <v>450</v>
      </c>
      <c r="E45" s="15" t="s">
        <v>5</v>
      </c>
      <c r="F45" s="78">
        <v>0.69</v>
      </c>
      <c r="G45" s="78">
        <f t="shared" si="197"/>
        <v>0.75900000000000001</v>
      </c>
      <c r="H45" s="79"/>
      <c r="I45" s="80">
        <f t="shared" si="198"/>
        <v>0</v>
      </c>
      <c r="J45" s="28">
        <f t="shared" si="199"/>
        <v>22.803132952179514</v>
      </c>
      <c r="K45" s="28">
        <f t="shared" si="200"/>
        <v>25.083446247397468</v>
      </c>
      <c r="L45" s="37">
        <f t="shared" si="201"/>
        <v>0</v>
      </c>
      <c r="M45" s="28">
        <f t="shared" si="202"/>
        <v>0</v>
      </c>
      <c r="N45" s="29">
        <f t="shared" si="203"/>
        <v>0.35684733140256514</v>
      </c>
      <c r="O45" s="29">
        <f t="shared" si="204"/>
        <v>0.39253206454282169</v>
      </c>
      <c r="P45" s="37">
        <f t="shared" si="205"/>
        <v>0</v>
      </c>
      <c r="Q45" s="29">
        <f t="shared" si="206"/>
        <v>0</v>
      </c>
      <c r="R45" s="30">
        <f t="shared" si="207"/>
        <v>0.31067086897793783</v>
      </c>
      <c r="S45" s="30">
        <f t="shared" si="208"/>
        <v>0.34173795587573164</v>
      </c>
      <c r="T45" s="37">
        <f t="shared" si="209"/>
        <v>0</v>
      </c>
      <c r="U45" s="30">
        <f t="shared" si="210"/>
        <v>0</v>
      </c>
    </row>
    <row r="46" spans="1:28" s="46" customFormat="1" ht="22.5" customHeight="1">
      <c r="A46" s="45"/>
      <c r="B46" s="95" t="s">
        <v>12</v>
      </c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7"/>
      <c r="V46" s="3"/>
      <c r="W46" s="45"/>
      <c r="X46" s="45"/>
      <c r="Y46" s="45"/>
      <c r="Z46" s="45"/>
      <c r="AA46" s="45"/>
    </row>
    <row r="47" spans="1:28" s="46" customFormat="1" ht="45.75" customHeight="1">
      <c r="A47" s="45"/>
      <c r="B47" s="13" t="s">
        <v>119</v>
      </c>
      <c r="C47" s="91" t="s">
        <v>117</v>
      </c>
      <c r="D47" s="71">
        <v>460</v>
      </c>
      <c r="E47" s="15" t="s">
        <v>5</v>
      </c>
      <c r="F47" s="89">
        <v>1.25</v>
      </c>
      <c r="G47" s="82">
        <f>F47*1.1</f>
        <v>1.375</v>
      </c>
      <c r="H47" s="85">
        <v>1.18</v>
      </c>
      <c r="I47" s="84">
        <f t="shared" ref="I47" si="211">H47+0.1*H47</f>
        <v>1.298</v>
      </c>
      <c r="J47" s="28">
        <f t="shared" ref="J47" si="212">F47/$K$3</f>
        <v>41.310023464093327</v>
      </c>
      <c r="K47" s="28">
        <f t="shared" ref="K47" si="213">G47/$K$3</f>
        <v>45.441025810502659</v>
      </c>
      <c r="L47" s="37">
        <f t="shared" ref="L47" si="214">H47/$K$3</f>
        <v>38.9966621501041</v>
      </c>
      <c r="M47" s="28">
        <f t="shared" ref="M47" si="215">I47/$K$3</f>
        <v>42.896328365114513</v>
      </c>
      <c r="N47" s="29">
        <f t="shared" ref="N47" si="216">F47/$L$3</f>
        <v>0.64646255688870502</v>
      </c>
      <c r="O47" s="29">
        <f t="shared" ref="O47" si="217">G47/$L$3</f>
        <v>0.71110881257757552</v>
      </c>
      <c r="P47" s="37">
        <f t="shared" ref="P47" si="218">H47/$L$3</f>
        <v>0.61026065370293747</v>
      </c>
      <c r="Q47" s="29">
        <f t="shared" ref="Q47" si="219">I47/$L$3</f>
        <v>0.67128671907323134</v>
      </c>
      <c r="R47" s="30">
        <f t="shared" ref="R47" si="220">F47/$M$3</f>
        <v>0.56280954524988747</v>
      </c>
      <c r="S47" s="30">
        <f t="shared" ref="S47" si="221">G47/$M$3</f>
        <v>0.61909049977487618</v>
      </c>
      <c r="T47" s="37">
        <f t="shared" ref="T47" si="222">H47/$M$3</f>
        <v>0.53129221071589372</v>
      </c>
      <c r="U47" s="30">
        <f t="shared" ref="U47" si="223">I47/$M$3</f>
        <v>0.58442143178748307</v>
      </c>
      <c r="V47" s="45"/>
      <c r="W47" s="45"/>
      <c r="X47" s="45"/>
      <c r="Y47" s="45"/>
      <c r="Z47" s="45"/>
    </row>
    <row r="48" spans="1:28" s="46" customFormat="1" ht="45.75" customHeight="1">
      <c r="A48" s="45"/>
      <c r="B48" s="13" t="s">
        <v>120</v>
      </c>
      <c r="C48" s="91" t="s">
        <v>117</v>
      </c>
      <c r="D48" s="71">
        <v>460</v>
      </c>
      <c r="E48" s="15" t="s">
        <v>5</v>
      </c>
      <c r="F48" s="89">
        <v>1.29</v>
      </c>
      <c r="G48" s="82">
        <f>F48*1.1</f>
        <v>1.4190000000000003</v>
      </c>
      <c r="H48" s="85">
        <v>1.22</v>
      </c>
      <c r="I48" s="84">
        <f t="shared" ref="I48" si="224">H48+0.1*H48</f>
        <v>1.3420000000000001</v>
      </c>
      <c r="J48" s="28">
        <f t="shared" ref="J48" si="225">F48/$K$3</f>
        <v>42.631944214944312</v>
      </c>
      <c r="K48" s="28">
        <f t="shared" ref="K48" si="226">G48/$K$3</f>
        <v>46.895138636438752</v>
      </c>
      <c r="L48" s="37">
        <f t="shared" ref="L48" si="227">H48/$K$3</f>
        <v>40.318582900955086</v>
      </c>
      <c r="M48" s="28">
        <f t="shared" ref="M48" si="228">I48/$K$3</f>
        <v>44.350441191050599</v>
      </c>
      <c r="N48" s="29">
        <f t="shared" ref="N48" si="229">F48/$L$3</f>
        <v>0.6671493587091436</v>
      </c>
      <c r="O48" s="29">
        <f t="shared" ref="O48" si="230">G48/$L$3</f>
        <v>0.73386429458005809</v>
      </c>
      <c r="P48" s="37">
        <f t="shared" ref="P48" si="231">H48/$L$3</f>
        <v>0.63094745552337606</v>
      </c>
      <c r="Q48" s="29">
        <f t="shared" ref="Q48" si="232">I48/$L$3</f>
        <v>0.69404220107571379</v>
      </c>
      <c r="R48" s="30">
        <f t="shared" ref="R48" si="233">F48/$M$3</f>
        <v>0.58081945069788388</v>
      </c>
      <c r="S48" s="30">
        <f t="shared" ref="S48" si="234">G48/$M$3</f>
        <v>0.63890139576767235</v>
      </c>
      <c r="T48" s="37">
        <f t="shared" ref="T48" si="235">H48/$M$3</f>
        <v>0.54930211616389013</v>
      </c>
      <c r="U48" s="30">
        <f t="shared" ref="U48" si="236">I48/$M$3</f>
        <v>0.60423232778027913</v>
      </c>
      <c r="V48" s="45"/>
      <c r="W48" s="45"/>
      <c r="X48" s="45"/>
      <c r="Y48" s="45"/>
      <c r="Z48" s="45"/>
    </row>
    <row r="49" spans="1:26" s="46" customFormat="1" ht="45.75" customHeight="1">
      <c r="A49" s="45"/>
      <c r="B49" s="13" t="s">
        <v>116</v>
      </c>
      <c r="C49" s="91" t="s">
        <v>117</v>
      </c>
      <c r="D49" s="71">
        <v>460</v>
      </c>
      <c r="E49" s="15" t="s">
        <v>5</v>
      </c>
      <c r="F49" s="89">
        <v>1.33</v>
      </c>
      <c r="G49" s="82">
        <f>F49*1.1</f>
        <v>1.4630000000000003</v>
      </c>
      <c r="H49" s="85">
        <v>1.25</v>
      </c>
      <c r="I49" s="84">
        <f t="shared" ref="I49" si="237">H49+0.1*H49</f>
        <v>1.375</v>
      </c>
      <c r="J49" s="28">
        <f t="shared" ref="J49" si="238">F49/$K$3</f>
        <v>43.953864965795304</v>
      </c>
      <c r="K49" s="28">
        <f t="shared" ref="K49" si="239">G49/$K$3</f>
        <v>48.349251462374838</v>
      </c>
      <c r="L49" s="37">
        <f t="shared" ref="L49" si="240">H49/$K$3</f>
        <v>41.310023464093327</v>
      </c>
      <c r="M49" s="28">
        <f t="shared" ref="M49" si="241">I49/$K$3</f>
        <v>45.441025810502659</v>
      </c>
      <c r="N49" s="29">
        <f t="shared" ref="N49" si="242">F49/$L$3</f>
        <v>0.68783616052958219</v>
      </c>
      <c r="O49" s="29">
        <f t="shared" ref="O49" si="243">G49/$L$3</f>
        <v>0.75661977658254054</v>
      </c>
      <c r="P49" s="37">
        <f t="shared" ref="P49" si="244">H49/$L$3</f>
        <v>0.64646255688870502</v>
      </c>
      <c r="Q49" s="29">
        <f t="shared" ref="Q49" si="245">I49/$L$3</f>
        <v>0.71110881257757552</v>
      </c>
      <c r="R49" s="30">
        <f t="shared" ref="R49" si="246">F49/$M$3</f>
        <v>0.59882935614588029</v>
      </c>
      <c r="S49" s="30">
        <f t="shared" ref="S49" si="247">G49/$M$3</f>
        <v>0.65871229176046842</v>
      </c>
      <c r="T49" s="37">
        <f t="shared" ref="T49" si="248">H49/$M$3</f>
        <v>0.56280954524988747</v>
      </c>
      <c r="U49" s="30">
        <f t="shared" ref="U49" si="249">I49/$M$3</f>
        <v>0.61909049977487618</v>
      </c>
      <c r="V49" s="45"/>
      <c r="W49" s="45"/>
      <c r="X49" s="45"/>
      <c r="Y49" s="45"/>
      <c r="Z49" s="45"/>
    </row>
    <row r="50" spans="1:26" s="46" customFormat="1" ht="81.75" customHeight="1">
      <c r="A50" s="45"/>
      <c r="B50" s="72" t="s">
        <v>91</v>
      </c>
      <c r="C50" s="13" t="s">
        <v>92</v>
      </c>
      <c r="D50" s="71">
        <v>450</v>
      </c>
      <c r="E50" s="15" t="s">
        <v>5</v>
      </c>
      <c r="F50" s="89">
        <v>1.29</v>
      </c>
      <c r="G50" s="78">
        <f t="shared" ref="G50" si="250">F50*1.2</f>
        <v>1.548</v>
      </c>
      <c r="H50" s="85">
        <v>1.21</v>
      </c>
      <c r="I50" s="80">
        <f t="shared" ref="I50" si="251">H50+0.2*H50</f>
        <v>1.452</v>
      </c>
      <c r="J50" s="28">
        <f>F50/$K$3</f>
        <v>42.631944214944312</v>
      </c>
      <c r="K50" s="28">
        <f>G50/$K$3</f>
        <v>51.158333057933177</v>
      </c>
      <c r="L50" s="37">
        <f>H50/$K$3</f>
        <v>39.988102713242341</v>
      </c>
      <c r="M50" s="28">
        <f>I50/$K$3</f>
        <v>47.985723255890804</v>
      </c>
      <c r="N50" s="29">
        <f t="shared" ref="N50" si="252">F50/$L$3</f>
        <v>0.6671493587091436</v>
      </c>
      <c r="O50" s="29">
        <f t="shared" ref="O50" si="253">G50/$L$3</f>
        <v>0.80057923045097235</v>
      </c>
      <c r="P50" s="37">
        <f t="shared" ref="P50" si="254">H50/$L$3</f>
        <v>0.62577575506826644</v>
      </c>
      <c r="Q50" s="29">
        <f t="shared" ref="Q50" si="255">I50/$L$3</f>
        <v>0.7509309060819197</v>
      </c>
      <c r="R50" s="30">
        <f t="shared" ref="R50" si="256">F50/$M$3</f>
        <v>0.58081945069788388</v>
      </c>
      <c r="S50" s="30">
        <f t="shared" ref="S50" si="257">G50/$M$3</f>
        <v>0.69698334083746061</v>
      </c>
      <c r="T50" s="37">
        <f t="shared" ref="T50" si="258">H50/$M$3</f>
        <v>0.54479963980189106</v>
      </c>
      <c r="U50" s="30">
        <f t="shared" ref="U50" si="259">I50/$M$3</f>
        <v>0.65375956776226918</v>
      </c>
      <c r="V50" s="45"/>
      <c r="W50" s="45"/>
      <c r="X50" s="45"/>
      <c r="Y50" s="45"/>
      <c r="Z50" s="45"/>
    </row>
    <row r="51" spans="1:26" s="46" customFormat="1" ht="30.75" hidden="1" customHeight="1">
      <c r="A51" s="45"/>
      <c r="B51" s="72" t="s">
        <v>91</v>
      </c>
      <c r="C51" s="13" t="s">
        <v>92</v>
      </c>
      <c r="D51" s="71">
        <v>510</v>
      </c>
      <c r="E51" s="15" t="s">
        <v>5</v>
      </c>
      <c r="F51" s="89">
        <f>12932+390</f>
        <v>13322</v>
      </c>
      <c r="G51" s="82">
        <f>F51*1.1</f>
        <v>14654.2</v>
      </c>
      <c r="H51" s="85">
        <f>12143+390</f>
        <v>12533</v>
      </c>
      <c r="I51" s="84">
        <f t="shared" ref="I51" si="260">H51+0.1*H51</f>
        <v>13786.3</v>
      </c>
      <c r="J51" s="28">
        <f t="shared" ref="J51:J53" si="261">F51/$K$3</f>
        <v>440265.70607092103</v>
      </c>
      <c r="K51" s="28">
        <f t="shared" ref="K51:K53" si="262">G51/$K$3</f>
        <v>484292.27667801315</v>
      </c>
      <c r="L51" s="37">
        <f t="shared" ref="L51:L53" si="263">H51/$K$3</f>
        <v>414190.81926038529</v>
      </c>
      <c r="M51" s="28">
        <f t="shared" ref="M51:M53" si="264">I51/$K$3</f>
        <v>455609.90118642384</v>
      </c>
      <c r="N51" s="29">
        <f t="shared" ref="N51:N53" si="265">F51/$L$3</f>
        <v>6889.7393462970622</v>
      </c>
      <c r="O51" s="29">
        <f t="shared" ref="O51:O53" si="266">G51/$L$3</f>
        <v>7578.7132809267696</v>
      </c>
      <c r="P51" s="37">
        <f t="shared" ref="P51:P53" si="267">H51/$L$3</f>
        <v>6481.6921803889118</v>
      </c>
      <c r="Q51" s="29">
        <f t="shared" ref="Q51:Q53" si="268">I51/$L$3</f>
        <v>7129.8613984278027</v>
      </c>
      <c r="R51" s="30">
        <f t="shared" ref="R51:R53" si="269">F51/$M$3</f>
        <v>5998.1990094552002</v>
      </c>
      <c r="S51" s="30">
        <f t="shared" ref="S51:S53" si="270">G51/$M$3</f>
        <v>6598.0189104007204</v>
      </c>
      <c r="T51" s="37">
        <f t="shared" ref="T51:T53" si="271">H51/$M$3</f>
        <v>5642.9536244934716</v>
      </c>
      <c r="U51" s="30">
        <f t="shared" ref="U51:U53" si="272">I51/$M$3</f>
        <v>6207.2489869428182</v>
      </c>
      <c r="V51" s="45"/>
      <c r="W51" s="45"/>
      <c r="X51" s="45"/>
      <c r="Y51" s="45"/>
      <c r="Z51" s="45"/>
    </row>
    <row r="52" spans="1:26" s="46" customFormat="1" ht="39" hidden="1" customHeight="1">
      <c r="A52" s="45"/>
      <c r="B52" s="13" t="s">
        <v>114</v>
      </c>
      <c r="C52" s="13" t="s">
        <v>76</v>
      </c>
      <c r="D52" s="71">
        <v>460</v>
      </c>
      <c r="E52" s="15" t="s">
        <v>5</v>
      </c>
      <c r="F52" s="89">
        <v>1.77</v>
      </c>
      <c r="G52" s="82">
        <f>F52*1.1</f>
        <v>1.9470000000000003</v>
      </c>
      <c r="H52" s="85">
        <v>1.67</v>
      </c>
      <c r="I52" s="84">
        <f t="shared" si="198"/>
        <v>1.837</v>
      </c>
      <c r="J52" s="28">
        <f t="shared" si="261"/>
        <v>58.494993225156151</v>
      </c>
      <c r="K52" s="28">
        <f t="shared" si="262"/>
        <v>64.344492547671777</v>
      </c>
      <c r="L52" s="37">
        <f t="shared" si="263"/>
        <v>55.190191348028684</v>
      </c>
      <c r="M52" s="28">
        <f t="shared" si="264"/>
        <v>60.709210482831551</v>
      </c>
      <c r="N52" s="29">
        <f t="shared" si="265"/>
        <v>0.91539098055440626</v>
      </c>
      <c r="O52" s="29">
        <f t="shared" si="266"/>
        <v>1.0069300786098472</v>
      </c>
      <c r="P52" s="37">
        <f t="shared" si="267"/>
        <v>0.86367397600330986</v>
      </c>
      <c r="Q52" s="29">
        <f t="shared" si="268"/>
        <v>0.95004137360364083</v>
      </c>
      <c r="R52" s="30">
        <f t="shared" si="269"/>
        <v>0.79693831607384058</v>
      </c>
      <c r="S52" s="30">
        <f t="shared" si="270"/>
        <v>0.87663214768122477</v>
      </c>
      <c r="T52" s="37">
        <f t="shared" si="271"/>
        <v>0.75191355245384961</v>
      </c>
      <c r="U52" s="30">
        <f t="shared" si="272"/>
        <v>0.8271049076992345</v>
      </c>
      <c r="V52" s="45"/>
      <c r="W52" s="45"/>
      <c r="X52" s="45"/>
      <c r="Y52" s="45"/>
      <c r="Z52" s="45"/>
    </row>
    <row r="53" spans="1:26" s="46" customFormat="1" ht="40.5" customHeight="1">
      <c r="A53" s="45"/>
      <c r="B53" s="13" t="s">
        <v>113</v>
      </c>
      <c r="C53" s="13" t="s">
        <v>76</v>
      </c>
      <c r="D53" s="14">
        <v>510</v>
      </c>
      <c r="E53" s="15" t="s">
        <v>5</v>
      </c>
      <c r="F53" s="89">
        <f>1.8+0.04</f>
        <v>1.84</v>
      </c>
      <c r="G53" s="82">
        <f>F53*1.1</f>
        <v>2.0240000000000005</v>
      </c>
      <c r="H53" s="85">
        <f>1.7+0.04</f>
        <v>1.74</v>
      </c>
      <c r="I53" s="84">
        <f t="shared" ref="I53" si="273">H53+0.1*H53</f>
        <v>1.9139999999999999</v>
      </c>
      <c r="J53" s="28">
        <f t="shared" si="261"/>
        <v>60.808354539145377</v>
      </c>
      <c r="K53" s="28">
        <f t="shared" si="262"/>
        <v>66.889189993059929</v>
      </c>
      <c r="L53" s="37">
        <f t="shared" si="263"/>
        <v>57.50355266201791</v>
      </c>
      <c r="M53" s="28">
        <f t="shared" si="264"/>
        <v>63.253907928219697</v>
      </c>
      <c r="N53" s="29">
        <f t="shared" si="265"/>
        <v>0.95159288374017381</v>
      </c>
      <c r="O53" s="29">
        <f t="shared" si="266"/>
        <v>1.0467521721141915</v>
      </c>
      <c r="P53" s="37">
        <f t="shared" si="267"/>
        <v>0.89987587918907741</v>
      </c>
      <c r="Q53" s="29">
        <f t="shared" si="268"/>
        <v>0.98986346710798512</v>
      </c>
      <c r="R53" s="30">
        <f t="shared" si="269"/>
        <v>0.82845565060783433</v>
      </c>
      <c r="S53" s="30">
        <f t="shared" si="270"/>
        <v>0.91130121566861788</v>
      </c>
      <c r="T53" s="37">
        <f t="shared" si="271"/>
        <v>0.78343088698784324</v>
      </c>
      <c r="U53" s="30">
        <f t="shared" si="272"/>
        <v>0.86177397568662761</v>
      </c>
      <c r="V53" s="45"/>
      <c r="W53" s="45"/>
      <c r="X53" s="45"/>
      <c r="Y53" s="45"/>
      <c r="Z53" s="45"/>
    </row>
    <row r="54" spans="1:26" s="46" customFormat="1" ht="21" customHeight="1">
      <c r="A54" s="45"/>
      <c r="B54" s="98" t="s">
        <v>27</v>
      </c>
      <c r="C54" s="98"/>
      <c r="D54" s="98"/>
      <c r="E54" s="98"/>
      <c r="F54" s="98"/>
      <c r="G54" s="98"/>
      <c r="H54" s="98"/>
      <c r="I54" s="98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45"/>
    </row>
    <row r="55" spans="1:26" s="70" customFormat="1" ht="84" customHeight="1">
      <c r="A55" s="69"/>
      <c r="B55" s="13" t="s">
        <v>89</v>
      </c>
      <c r="C55" s="13" t="s">
        <v>90</v>
      </c>
      <c r="D55" s="14">
        <v>510</v>
      </c>
      <c r="E55" s="15" t="s">
        <v>5</v>
      </c>
      <c r="F55" s="78">
        <f>1.35+0.04</f>
        <v>1.3900000000000001</v>
      </c>
      <c r="G55" s="78">
        <f t="shared" ref="G55" si="274">F55*1.1</f>
        <v>1.5290000000000004</v>
      </c>
      <c r="H55" s="79">
        <f>1.28+0.04</f>
        <v>1.32</v>
      </c>
      <c r="I55" s="80">
        <f t="shared" ref="I55" si="275">H55+0.1*H55</f>
        <v>1.452</v>
      </c>
      <c r="J55" s="28">
        <f t="shared" ref="J55" si="276">F55/$K$3</f>
        <v>45.936746092071786</v>
      </c>
      <c r="K55" s="28">
        <f t="shared" ref="K55" si="277">G55/$K$3</f>
        <v>50.53042070127897</v>
      </c>
      <c r="L55" s="37">
        <f t="shared" ref="L55" si="278">H55/$K$3</f>
        <v>43.623384778082553</v>
      </c>
      <c r="M55" s="28">
        <f t="shared" ref="M55" si="279">I55/$K$3</f>
        <v>47.985723255890804</v>
      </c>
      <c r="N55" s="29">
        <f t="shared" ref="N55" si="280">F55/$L$3</f>
        <v>0.71886636326024</v>
      </c>
      <c r="O55" s="29">
        <f t="shared" ref="O55" si="281">G55/$L$3</f>
        <v>0.7907529995862641</v>
      </c>
      <c r="P55" s="37">
        <f t="shared" ref="P55" si="282">H55/$L$3</f>
        <v>0.68266446007447257</v>
      </c>
      <c r="Q55" s="29">
        <f t="shared" ref="Q55" si="283">I55/$L$3</f>
        <v>0.7509309060819197</v>
      </c>
      <c r="R55" s="30">
        <f t="shared" ref="R55" si="284">F55/$M$3</f>
        <v>0.62584421431787485</v>
      </c>
      <c r="S55" s="30">
        <f t="shared" ref="S55" si="285">G55/$M$3</f>
        <v>0.6884286357496624</v>
      </c>
      <c r="T55" s="37">
        <f t="shared" ref="T55" si="286">H55/$M$3</f>
        <v>0.5943268797838811</v>
      </c>
      <c r="U55" s="30">
        <f t="shared" ref="U55" si="287">I55/$M$3</f>
        <v>0.65375956776226918</v>
      </c>
      <c r="V55" s="46"/>
    </row>
    <row r="56" spans="1:26" s="70" customFormat="1" ht="84" customHeight="1">
      <c r="A56" s="69"/>
      <c r="B56" s="13" t="s">
        <v>57</v>
      </c>
      <c r="C56" s="13" t="s">
        <v>77</v>
      </c>
      <c r="D56" s="14">
        <v>460</v>
      </c>
      <c r="E56" s="15" t="s">
        <v>5</v>
      </c>
      <c r="F56" s="78">
        <f>0.77+0.04</f>
        <v>0.81</v>
      </c>
      <c r="G56" s="78">
        <f t="shared" ref="G56:G68" si="288">F56*1.1</f>
        <v>0.89100000000000013</v>
      </c>
      <c r="H56" s="79">
        <f>0.73+0.04</f>
        <v>0.77</v>
      </c>
      <c r="I56" s="80">
        <f t="shared" si="198"/>
        <v>0.84699999999999998</v>
      </c>
      <c r="J56" s="28">
        <f t="shared" ref="J56" si="289">F56/$K$3</f>
        <v>26.768895204732477</v>
      </c>
      <c r="K56" s="28">
        <f t="shared" ref="K56" si="290">G56/$K$3</f>
        <v>29.445784725205726</v>
      </c>
      <c r="L56" s="37">
        <f t="shared" ref="L56" si="291">H56/$K$3</f>
        <v>25.446974453881488</v>
      </c>
      <c r="M56" s="28">
        <f t="shared" ref="M56" si="292">I56/$K$3</f>
        <v>27.991671899269637</v>
      </c>
      <c r="N56" s="29">
        <f t="shared" ref="N56" si="293">F56/$L$3</f>
        <v>0.41890773686388089</v>
      </c>
      <c r="O56" s="29">
        <f t="shared" ref="O56" si="294">G56/$L$3</f>
        <v>0.46079851055026899</v>
      </c>
      <c r="P56" s="37">
        <f t="shared" ref="P56" si="295">H56/$L$3</f>
        <v>0.3982209350434423</v>
      </c>
      <c r="Q56" s="29">
        <f t="shared" ref="Q56" si="296">I56/$L$3</f>
        <v>0.43804302854778648</v>
      </c>
      <c r="R56" s="30">
        <f t="shared" ref="R56" si="297">F56/$M$3</f>
        <v>0.36470058532192706</v>
      </c>
      <c r="S56" s="30">
        <f t="shared" ref="S56" si="298">G56/$M$3</f>
        <v>0.40117064385411982</v>
      </c>
      <c r="T56" s="37">
        <f t="shared" ref="T56" si="299">H56/$M$3</f>
        <v>0.34669067987393065</v>
      </c>
      <c r="U56" s="30">
        <f t="shared" ref="U56" si="300">I56/$M$3</f>
        <v>0.38135974786132371</v>
      </c>
    </row>
    <row r="57" spans="1:26" s="46" customFormat="1" ht="84" customHeight="1">
      <c r="A57" s="45"/>
      <c r="B57" s="13" t="s">
        <v>58</v>
      </c>
      <c r="C57" s="13" t="s">
        <v>78</v>
      </c>
      <c r="D57" s="16">
        <v>510</v>
      </c>
      <c r="E57" s="16" t="s">
        <v>5</v>
      </c>
      <c r="F57" s="80">
        <f>1.22+0.04</f>
        <v>1.26</v>
      </c>
      <c r="G57" s="78">
        <f t="shared" ref="G57:G64" si="301">F57*1.1</f>
        <v>1.3860000000000001</v>
      </c>
      <c r="H57" s="79">
        <f>1.14+0.04</f>
        <v>1.18</v>
      </c>
      <c r="I57" s="80">
        <f t="shared" ref="I57:I64" si="302">H57+0.1*H57</f>
        <v>1.298</v>
      </c>
      <c r="J57" s="28">
        <f t="shared" ref="J57" si="303">F57/$K$3</f>
        <v>41.640503651806071</v>
      </c>
      <c r="K57" s="28">
        <f t="shared" ref="K57" si="304">G57/$K$3</f>
        <v>45.804554016986685</v>
      </c>
      <c r="L57" s="37">
        <f t="shared" ref="L57" si="305">H57/$K$3</f>
        <v>38.9966621501041</v>
      </c>
      <c r="M57" s="28">
        <f t="shared" ref="M57" si="306">I57/$K$3</f>
        <v>42.896328365114513</v>
      </c>
      <c r="N57" s="29">
        <f t="shared" ref="N57" si="307">F57/$L$3</f>
        <v>0.65163425734381464</v>
      </c>
      <c r="O57" s="29">
        <f t="shared" ref="O57" si="308">G57/$L$3</f>
        <v>0.71679768307819614</v>
      </c>
      <c r="P57" s="37">
        <f t="shared" ref="P57" si="309">H57/$L$3</f>
        <v>0.61026065370293747</v>
      </c>
      <c r="Q57" s="29">
        <f t="shared" ref="Q57" si="310">I57/$L$3</f>
        <v>0.67128671907323134</v>
      </c>
      <c r="R57" s="30">
        <f t="shared" ref="R57" si="311">F57/$M$3</f>
        <v>0.56731202161188654</v>
      </c>
      <c r="S57" s="30">
        <f t="shared" ref="S57" si="312">G57/$M$3</f>
        <v>0.6240432237730752</v>
      </c>
      <c r="T57" s="37">
        <f t="shared" ref="T57" si="313">H57/$M$3</f>
        <v>0.53129221071589372</v>
      </c>
      <c r="U57" s="30">
        <f t="shared" ref="U57" si="314">I57/$M$3</f>
        <v>0.58442143178748307</v>
      </c>
      <c r="V57" s="70"/>
    </row>
    <row r="58" spans="1:26" s="46" customFormat="1" ht="84" customHeight="1">
      <c r="A58" s="45"/>
      <c r="B58" s="13" t="s">
        <v>84</v>
      </c>
      <c r="C58" s="13" t="s">
        <v>85</v>
      </c>
      <c r="D58" s="16">
        <v>460</v>
      </c>
      <c r="E58" s="16" t="s">
        <v>5</v>
      </c>
      <c r="F58" s="80">
        <f>1.18</f>
        <v>1.18</v>
      </c>
      <c r="G58" s="78">
        <f t="shared" si="301"/>
        <v>1.298</v>
      </c>
      <c r="H58" s="79">
        <f>1.11</f>
        <v>1.1100000000000001</v>
      </c>
      <c r="I58" s="80">
        <f t="shared" si="302"/>
        <v>1.2210000000000001</v>
      </c>
      <c r="J58" s="28">
        <f t="shared" ref="J58" si="315">F58/$K$3</f>
        <v>38.9966621501041</v>
      </c>
      <c r="K58" s="28">
        <f t="shared" ref="K58" si="316">G58/$K$3</f>
        <v>42.896328365114513</v>
      </c>
      <c r="L58" s="37">
        <f>H58/$K$3</f>
        <v>36.683300836114874</v>
      </c>
      <c r="M58" s="28">
        <f t="shared" ref="M58" si="317">I58/$K$3</f>
        <v>40.351630919726361</v>
      </c>
      <c r="N58" s="29">
        <f t="shared" ref="N58" si="318">F58/$L$3</f>
        <v>0.61026065370293747</v>
      </c>
      <c r="O58" s="29">
        <f t="shared" ref="O58" si="319">G58/$L$3</f>
        <v>0.67128671907323134</v>
      </c>
      <c r="P58" s="37">
        <f t="shared" ref="P58" si="320">H58/$L$3</f>
        <v>0.57405875051717015</v>
      </c>
      <c r="Q58" s="29">
        <f t="shared" ref="Q58" si="321">I58/$L$3</f>
        <v>0.63146462556888705</v>
      </c>
      <c r="R58" s="30">
        <f t="shared" ref="R58" si="322">F58/$M$3</f>
        <v>0.53129221071589372</v>
      </c>
      <c r="S58" s="30">
        <f t="shared" ref="S58" si="323">G58/$M$3</f>
        <v>0.58442143178748307</v>
      </c>
      <c r="T58" s="37">
        <f t="shared" ref="T58" si="324">H58/$M$3</f>
        <v>0.49977487618190009</v>
      </c>
      <c r="U58" s="30">
        <f t="shared" ref="U58" si="325">I58/$M$3</f>
        <v>0.54975236380009007</v>
      </c>
    </row>
    <row r="59" spans="1:26" s="46" customFormat="1" ht="84" customHeight="1">
      <c r="A59" s="45"/>
      <c r="B59" s="13" t="s">
        <v>84</v>
      </c>
      <c r="C59" s="13" t="s">
        <v>85</v>
      </c>
      <c r="D59" s="16">
        <v>510</v>
      </c>
      <c r="E59" s="16" t="s">
        <v>5</v>
      </c>
      <c r="F59" s="80">
        <f>1.22+0.04</f>
        <v>1.26</v>
      </c>
      <c r="G59" s="78">
        <f t="shared" si="301"/>
        <v>1.3860000000000001</v>
      </c>
      <c r="H59" s="79">
        <f>1.14+0.04</f>
        <v>1.18</v>
      </c>
      <c r="I59" s="80">
        <f t="shared" si="302"/>
        <v>1.298</v>
      </c>
      <c r="J59" s="28"/>
      <c r="K59" s="28"/>
      <c r="L59" s="37"/>
      <c r="M59" s="28"/>
      <c r="N59" s="29"/>
      <c r="O59" s="29"/>
      <c r="P59" s="37"/>
      <c r="Q59" s="29"/>
      <c r="R59" s="30"/>
      <c r="S59" s="30"/>
      <c r="T59" s="37"/>
      <c r="U59" s="30"/>
    </row>
    <row r="60" spans="1:26" s="46" customFormat="1" ht="87" customHeight="1">
      <c r="A60" s="45"/>
      <c r="B60" s="13" t="s">
        <v>95</v>
      </c>
      <c r="C60" s="13" t="s">
        <v>96</v>
      </c>
      <c r="D60" s="16">
        <v>460</v>
      </c>
      <c r="E60" s="16" t="s">
        <v>5</v>
      </c>
      <c r="F60" s="80">
        <v>1.23</v>
      </c>
      <c r="G60" s="78">
        <f t="shared" si="301"/>
        <v>1.353</v>
      </c>
      <c r="H60" s="79">
        <v>1.1599999999999999</v>
      </c>
      <c r="I60" s="80">
        <f t="shared" si="302"/>
        <v>1.2759999999999998</v>
      </c>
      <c r="J60" s="28">
        <f t="shared" ref="J60:J61" si="326">F60/$K$3</f>
        <v>40.64906308866783</v>
      </c>
      <c r="K60" s="28">
        <f t="shared" ref="K60:K61" si="327">G60/$K$3</f>
        <v>44.713969397534612</v>
      </c>
      <c r="L60" s="37">
        <f t="shared" ref="L60:L64" si="328">H60/$K$3</f>
        <v>38.335701774678604</v>
      </c>
      <c r="M60" s="28">
        <f t="shared" ref="M60:M61" si="329">I60/$K$3</f>
        <v>42.16927195214646</v>
      </c>
      <c r="N60" s="29">
        <f t="shared" ref="N60:N61" si="330">F60/$L$3</f>
        <v>0.63611915597848567</v>
      </c>
      <c r="O60" s="29">
        <f t="shared" ref="O60:O61" si="331">G60/$L$3</f>
        <v>0.6997310715763343</v>
      </c>
      <c r="P60" s="37">
        <f t="shared" ref="P60:P61" si="332">H60/$L$3</f>
        <v>0.59991725279271824</v>
      </c>
      <c r="Q60" s="29">
        <f t="shared" ref="Q60:Q61" si="333">I60/$L$3</f>
        <v>0.65990897807199</v>
      </c>
      <c r="R60" s="30">
        <f t="shared" ref="R60:R61" si="334">F60/$M$3</f>
        <v>0.55380459252588921</v>
      </c>
      <c r="S60" s="30">
        <f t="shared" ref="S60:S61" si="335">G60/$M$3</f>
        <v>0.60918505177847815</v>
      </c>
      <c r="T60" s="37">
        <f t="shared" ref="T60:T61" si="336">H60/$M$3</f>
        <v>0.52228725799189546</v>
      </c>
      <c r="U60" s="30">
        <f t="shared" ref="U60:U61" si="337">I60/$M$3</f>
        <v>0.57451598379108504</v>
      </c>
    </row>
    <row r="61" spans="1:26" s="46" customFormat="1" ht="45" hidden="1" customHeight="1">
      <c r="A61" s="45"/>
      <c r="B61" s="13" t="s">
        <v>97</v>
      </c>
      <c r="C61" s="13" t="s">
        <v>98</v>
      </c>
      <c r="D61" s="16">
        <v>450</v>
      </c>
      <c r="E61" s="16" t="s">
        <v>5</v>
      </c>
      <c r="F61" s="80">
        <v>7770</v>
      </c>
      <c r="G61" s="78">
        <f t="shared" si="301"/>
        <v>8547</v>
      </c>
      <c r="H61" s="79">
        <v>7330</v>
      </c>
      <c r="I61" s="80">
        <f t="shared" si="302"/>
        <v>8063</v>
      </c>
      <c r="J61" s="28">
        <f t="shared" si="326"/>
        <v>256783.10585280412</v>
      </c>
      <c r="K61" s="28">
        <f t="shared" si="327"/>
        <v>282461.4164380845</v>
      </c>
      <c r="L61" s="37">
        <f t="shared" si="328"/>
        <v>242241.97759344327</v>
      </c>
      <c r="M61" s="28">
        <f t="shared" si="329"/>
        <v>266466.1753527876</v>
      </c>
      <c r="N61" s="29">
        <f t="shared" si="330"/>
        <v>4018.4112536201906</v>
      </c>
      <c r="O61" s="29">
        <f t="shared" si="331"/>
        <v>4420.2523789822089</v>
      </c>
      <c r="P61" s="37">
        <f t="shared" si="332"/>
        <v>3790.8564335953661</v>
      </c>
      <c r="Q61" s="29">
        <f t="shared" si="333"/>
        <v>4169.9420769549024</v>
      </c>
      <c r="R61" s="30">
        <f t="shared" si="334"/>
        <v>3498.4241332733</v>
      </c>
      <c r="S61" s="30">
        <f t="shared" si="335"/>
        <v>3848.2665466006301</v>
      </c>
      <c r="T61" s="37">
        <f t="shared" si="336"/>
        <v>3300.3151733453396</v>
      </c>
      <c r="U61" s="30">
        <f t="shared" si="337"/>
        <v>3630.346690679874</v>
      </c>
    </row>
    <row r="62" spans="1:26" s="46" customFormat="1" ht="79.5" customHeight="1">
      <c r="A62" s="45"/>
      <c r="B62" s="13" t="s">
        <v>99</v>
      </c>
      <c r="C62" s="13" t="s">
        <v>109</v>
      </c>
      <c r="D62" s="16">
        <v>460</v>
      </c>
      <c r="E62" s="16" t="s">
        <v>5</v>
      </c>
      <c r="F62" s="80">
        <v>1.1499999999999999</v>
      </c>
      <c r="G62" s="78">
        <f t="shared" si="301"/>
        <v>1.2649999999999999</v>
      </c>
      <c r="H62" s="79">
        <v>1.08</v>
      </c>
      <c r="I62" s="80">
        <f t="shared" si="302"/>
        <v>1.1880000000000002</v>
      </c>
      <c r="J62" s="28">
        <f t="shared" ref="J62:J64" si="338">F62/$K$3</f>
        <v>38.00522158696586</v>
      </c>
      <c r="K62" s="28">
        <f t="shared" ref="K62:K64" si="339">G62/$K$3</f>
        <v>41.80574374566244</v>
      </c>
      <c r="L62" s="37">
        <f t="shared" si="328"/>
        <v>35.691860272976633</v>
      </c>
      <c r="M62" s="28">
        <f t="shared" ref="M62:M64" si="340">I62/$K$3</f>
        <v>39.261046300274302</v>
      </c>
      <c r="N62" s="29">
        <f t="shared" ref="N62:N64" si="341">F62/$L$3</f>
        <v>0.59474555233760862</v>
      </c>
      <c r="O62" s="29">
        <f t="shared" ref="O62:O64" si="342">G62/$L$3</f>
        <v>0.65422010757136939</v>
      </c>
      <c r="P62" s="37">
        <f t="shared" ref="P62:P64" si="343">H62/$L$3</f>
        <v>0.55854364915184118</v>
      </c>
      <c r="Q62" s="29">
        <f t="shared" ref="Q62:Q64" si="344">I62/$L$3</f>
        <v>0.61439801406702532</v>
      </c>
      <c r="R62" s="30">
        <f t="shared" ref="R62:R64" si="345">F62/$M$3</f>
        <v>0.51778478162989638</v>
      </c>
      <c r="S62" s="30">
        <f t="shared" ref="S62:S64" si="346">G62/$M$3</f>
        <v>0.56956325979288602</v>
      </c>
      <c r="T62" s="37">
        <f t="shared" ref="T62:T64" si="347">H62/$M$3</f>
        <v>0.48626744709590275</v>
      </c>
      <c r="U62" s="30">
        <f t="shared" ref="U62:U64" si="348">I62/$M$3</f>
        <v>0.53489419180549302</v>
      </c>
    </row>
    <row r="63" spans="1:26" s="46" customFormat="1" ht="75.75" customHeight="1">
      <c r="A63" s="45"/>
      <c r="B63" s="13" t="s">
        <v>105</v>
      </c>
      <c r="C63" s="13" t="s">
        <v>106</v>
      </c>
      <c r="D63" s="16">
        <v>460</v>
      </c>
      <c r="E63" s="16" t="s">
        <v>5</v>
      </c>
      <c r="F63" s="80">
        <v>1.48</v>
      </c>
      <c r="G63" s="78">
        <f t="shared" si="301"/>
        <v>1.6280000000000001</v>
      </c>
      <c r="H63" s="79">
        <v>1.4</v>
      </c>
      <c r="I63" s="80">
        <f t="shared" si="302"/>
        <v>1.5399999999999998</v>
      </c>
      <c r="J63" s="28">
        <f t="shared" si="338"/>
        <v>48.911067781486494</v>
      </c>
      <c r="K63" s="28">
        <f t="shared" si="339"/>
        <v>53.802174559635155</v>
      </c>
      <c r="L63" s="37">
        <f t="shared" si="328"/>
        <v>46.267226279784524</v>
      </c>
      <c r="M63" s="28">
        <f t="shared" si="340"/>
        <v>50.893948907762969</v>
      </c>
      <c r="N63" s="29">
        <f t="shared" si="341"/>
        <v>0.76541166735622668</v>
      </c>
      <c r="O63" s="29">
        <f t="shared" si="342"/>
        <v>0.84195283409184951</v>
      </c>
      <c r="P63" s="37">
        <f t="shared" si="343"/>
        <v>0.72403806371534951</v>
      </c>
      <c r="Q63" s="29">
        <f t="shared" si="344"/>
        <v>0.7964418700868845</v>
      </c>
      <c r="R63" s="30">
        <f t="shared" si="345"/>
        <v>0.66636650157586674</v>
      </c>
      <c r="S63" s="30">
        <f t="shared" si="346"/>
        <v>0.73300315173345343</v>
      </c>
      <c r="T63" s="37">
        <f t="shared" si="347"/>
        <v>0.63034669067987381</v>
      </c>
      <c r="U63" s="30">
        <f t="shared" si="348"/>
        <v>0.69338135974786119</v>
      </c>
    </row>
    <row r="64" spans="1:26" s="46" customFormat="1" ht="75.75" customHeight="1">
      <c r="A64" s="45"/>
      <c r="B64" s="13" t="s">
        <v>107</v>
      </c>
      <c r="C64" s="13" t="s">
        <v>108</v>
      </c>
      <c r="D64" s="16">
        <v>460</v>
      </c>
      <c r="E64" s="16" t="s">
        <v>5</v>
      </c>
      <c r="F64" s="80">
        <v>1.45</v>
      </c>
      <c r="G64" s="78">
        <f t="shared" si="301"/>
        <v>1.595</v>
      </c>
      <c r="H64" s="79">
        <v>1.32</v>
      </c>
      <c r="I64" s="80">
        <f t="shared" si="302"/>
        <v>1.452</v>
      </c>
      <c r="J64" s="28">
        <f t="shared" si="338"/>
        <v>47.919627218348253</v>
      </c>
      <c r="K64" s="28">
        <f t="shared" si="339"/>
        <v>52.711589940183082</v>
      </c>
      <c r="L64" s="37">
        <f t="shared" si="328"/>
        <v>43.623384778082553</v>
      </c>
      <c r="M64" s="28">
        <f t="shared" si="340"/>
        <v>47.985723255890804</v>
      </c>
      <c r="N64" s="29">
        <f t="shared" si="341"/>
        <v>0.74989656599089782</v>
      </c>
      <c r="O64" s="29">
        <f t="shared" si="342"/>
        <v>0.82488622258998756</v>
      </c>
      <c r="P64" s="37">
        <f t="shared" si="343"/>
        <v>0.68266446007447257</v>
      </c>
      <c r="Q64" s="29">
        <f t="shared" si="344"/>
        <v>0.7509309060819197</v>
      </c>
      <c r="R64" s="30">
        <f t="shared" si="345"/>
        <v>0.65285907248986941</v>
      </c>
      <c r="S64" s="30">
        <f t="shared" si="346"/>
        <v>0.71814497973885638</v>
      </c>
      <c r="T64" s="37">
        <f t="shared" si="347"/>
        <v>0.5943268797838811</v>
      </c>
      <c r="U64" s="30">
        <f t="shared" si="348"/>
        <v>0.65375956776226918</v>
      </c>
    </row>
    <row r="65" spans="1:22" s="46" customFormat="1" ht="22.5" customHeight="1">
      <c r="A65" s="45"/>
      <c r="B65" s="98" t="s">
        <v>13</v>
      </c>
      <c r="C65" s="98"/>
      <c r="D65" s="98"/>
      <c r="E65" s="98"/>
      <c r="F65" s="98"/>
      <c r="G65" s="98"/>
      <c r="H65" s="98"/>
      <c r="I65" s="98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</row>
    <row r="66" spans="1:22" ht="87" customHeight="1">
      <c r="B66" s="13" t="s">
        <v>24</v>
      </c>
      <c r="C66" s="13" t="s">
        <v>79</v>
      </c>
      <c r="D66" s="14">
        <v>460</v>
      </c>
      <c r="E66" s="15" t="s">
        <v>5</v>
      </c>
      <c r="F66" s="78">
        <v>1.38</v>
      </c>
      <c r="G66" s="78">
        <f t="shared" si="288"/>
        <v>1.518</v>
      </c>
      <c r="H66" s="79">
        <v>1.3</v>
      </c>
      <c r="I66" s="80">
        <f t="shared" si="198"/>
        <v>1.4300000000000002</v>
      </c>
      <c r="J66" s="28">
        <f>F66/$K$3</f>
        <v>45.606265904359027</v>
      </c>
      <c r="K66" s="28">
        <f t="shared" ref="K66:K69" si="349">G66/$K$3</f>
        <v>50.166892494794936</v>
      </c>
      <c r="L66" s="37">
        <f t="shared" ref="L66:L69" si="350">H66/$K$3</f>
        <v>42.962424402657064</v>
      </c>
      <c r="M66" s="28">
        <f t="shared" ref="M66:M69" si="351">I66/$K$3</f>
        <v>47.258666842922771</v>
      </c>
      <c r="N66" s="29">
        <f t="shared" ref="N66:N69" si="352">F66/$L$3</f>
        <v>0.71369466280513028</v>
      </c>
      <c r="O66" s="29">
        <f t="shared" ref="O66:O69" si="353">G66/$L$3</f>
        <v>0.78506412908564338</v>
      </c>
      <c r="P66" s="37">
        <f t="shared" ref="P66:P69" si="354">H66/$L$3</f>
        <v>0.67232105916425322</v>
      </c>
      <c r="Q66" s="29">
        <f t="shared" ref="Q66:Q69" si="355">I66/$L$3</f>
        <v>0.73955316508067859</v>
      </c>
      <c r="R66" s="30">
        <f t="shared" ref="R66:R69" si="356">F66/$M$3</f>
        <v>0.62134173795587566</v>
      </c>
      <c r="S66" s="30">
        <f t="shared" ref="S66:S69" si="357">G66/$M$3</f>
        <v>0.68347591175146327</v>
      </c>
      <c r="T66" s="37">
        <f t="shared" ref="T66:T69" si="358">H66/$M$3</f>
        <v>0.58532192705988295</v>
      </c>
      <c r="U66" s="30">
        <f t="shared" ref="U66:U69" si="359">I66/$M$3</f>
        <v>0.64385411976587126</v>
      </c>
      <c r="V66" s="46"/>
    </row>
    <row r="67" spans="1:22" ht="85.5" customHeight="1">
      <c r="B67" s="13" t="s">
        <v>18</v>
      </c>
      <c r="C67" s="13" t="s">
        <v>80</v>
      </c>
      <c r="D67" s="14">
        <v>460</v>
      </c>
      <c r="E67" s="15" t="s">
        <v>5</v>
      </c>
      <c r="F67" s="78">
        <v>1.39</v>
      </c>
      <c r="G67" s="78">
        <f t="shared" si="288"/>
        <v>1.5289999999999999</v>
      </c>
      <c r="H67" s="79">
        <v>1.32</v>
      </c>
      <c r="I67" s="80">
        <f t="shared" si="198"/>
        <v>1.452</v>
      </c>
      <c r="J67" s="28">
        <f t="shared" ref="J67:J69" si="360">F67/$K$3</f>
        <v>45.936746092071772</v>
      </c>
      <c r="K67" s="28">
        <f t="shared" si="349"/>
        <v>50.530420701278956</v>
      </c>
      <c r="L67" s="37">
        <f t="shared" si="350"/>
        <v>43.623384778082553</v>
      </c>
      <c r="M67" s="28">
        <f t="shared" si="351"/>
        <v>47.985723255890804</v>
      </c>
      <c r="N67" s="29">
        <f t="shared" si="352"/>
        <v>0.71886636326023989</v>
      </c>
      <c r="O67" s="29">
        <f t="shared" si="353"/>
        <v>0.79075299958626388</v>
      </c>
      <c r="P67" s="37">
        <f t="shared" si="354"/>
        <v>0.68266446007447257</v>
      </c>
      <c r="Q67" s="29">
        <f t="shared" si="355"/>
        <v>0.7509309060819197</v>
      </c>
      <c r="R67" s="30">
        <f t="shared" si="356"/>
        <v>0.62584421431787474</v>
      </c>
      <c r="S67" s="30">
        <f t="shared" si="357"/>
        <v>0.68842863574966229</v>
      </c>
      <c r="T67" s="37">
        <f t="shared" si="358"/>
        <v>0.5943268797838811</v>
      </c>
      <c r="U67" s="30">
        <f t="shared" si="359"/>
        <v>0.65375956776226918</v>
      </c>
    </row>
    <row r="68" spans="1:22" s="46" customFormat="1" ht="83.25" customHeight="1">
      <c r="A68" s="45"/>
      <c r="B68" s="13" t="s">
        <v>18</v>
      </c>
      <c r="C68" s="13" t="s">
        <v>80</v>
      </c>
      <c r="D68" s="14">
        <v>510</v>
      </c>
      <c r="E68" s="15" t="s">
        <v>5</v>
      </c>
      <c r="F68" s="78">
        <f>1.35+0.04</f>
        <v>1.3900000000000001</v>
      </c>
      <c r="G68" s="78">
        <f t="shared" si="288"/>
        <v>1.5290000000000004</v>
      </c>
      <c r="H68" s="79">
        <f>1.28+0.04</f>
        <v>1.32</v>
      </c>
      <c r="I68" s="80">
        <f t="shared" si="198"/>
        <v>1.452</v>
      </c>
      <c r="J68" s="28">
        <f t="shared" si="360"/>
        <v>45.936746092071786</v>
      </c>
      <c r="K68" s="28">
        <f t="shared" si="349"/>
        <v>50.53042070127897</v>
      </c>
      <c r="L68" s="37">
        <f t="shared" si="350"/>
        <v>43.623384778082553</v>
      </c>
      <c r="M68" s="28">
        <f t="shared" si="351"/>
        <v>47.985723255890804</v>
      </c>
      <c r="N68" s="29">
        <f t="shared" si="352"/>
        <v>0.71886636326024</v>
      </c>
      <c r="O68" s="29">
        <f t="shared" si="353"/>
        <v>0.7907529995862641</v>
      </c>
      <c r="P68" s="37">
        <f t="shared" si="354"/>
        <v>0.68266446007447257</v>
      </c>
      <c r="Q68" s="29">
        <f t="shared" si="355"/>
        <v>0.7509309060819197</v>
      </c>
      <c r="R68" s="30">
        <f t="shared" si="356"/>
        <v>0.62584421431787485</v>
      </c>
      <c r="S68" s="30">
        <f t="shared" si="357"/>
        <v>0.6884286357496624</v>
      </c>
      <c r="T68" s="37">
        <f t="shared" si="358"/>
        <v>0.5943268797838811</v>
      </c>
      <c r="U68" s="30">
        <f t="shared" si="359"/>
        <v>0.65375956776226918</v>
      </c>
      <c r="V68" s="3"/>
    </row>
    <row r="69" spans="1:22" s="46" customFormat="1" ht="80.25" hidden="1" customHeight="1">
      <c r="A69" s="45"/>
      <c r="B69" s="13" t="s">
        <v>36</v>
      </c>
      <c r="C69" s="13" t="s">
        <v>81</v>
      </c>
      <c r="D69" s="14">
        <v>460</v>
      </c>
      <c r="E69" s="15" t="s">
        <v>5</v>
      </c>
      <c r="F69" s="78">
        <v>0.99</v>
      </c>
      <c r="G69" s="78">
        <f t="shared" ref="G69" si="361">F69*1.1</f>
        <v>1.089</v>
      </c>
      <c r="H69" s="79">
        <v>0.94</v>
      </c>
      <c r="I69" s="80">
        <f t="shared" ref="I69" si="362">H69+0.1*H69</f>
        <v>1.034</v>
      </c>
      <c r="J69" s="28">
        <f t="shared" si="360"/>
        <v>32.717538583561911</v>
      </c>
      <c r="K69" s="28">
        <f t="shared" si="349"/>
        <v>35.989292441918103</v>
      </c>
      <c r="L69" s="37">
        <f t="shared" si="350"/>
        <v>31.065137644998181</v>
      </c>
      <c r="M69" s="28">
        <f t="shared" si="351"/>
        <v>34.171651409497997</v>
      </c>
      <c r="N69" s="29">
        <f t="shared" si="352"/>
        <v>0.5119983450558544</v>
      </c>
      <c r="O69" s="29">
        <f t="shared" si="353"/>
        <v>0.5631981795614398</v>
      </c>
      <c r="P69" s="37">
        <f t="shared" si="354"/>
        <v>0.48613984278030614</v>
      </c>
      <c r="Q69" s="29">
        <f t="shared" si="355"/>
        <v>0.53475382705833685</v>
      </c>
      <c r="R69" s="30">
        <f t="shared" si="356"/>
        <v>0.44574515983791085</v>
      </c>
      <c r="S69" s="30">
        <f t="shared" si="357"/>
        <v>0.49031967582170188</v>
      </c>
      <c r="T69" s="37">
        <f t="shared" si="358"/>
        <v>0.42323277802791531</v>
      </c>
      <c r="U69" s="30">
        <f t="shared" si="359"/>
        <v>0.46555605583070686</v>
      </c>
    </row>
    <row r="70" spans="1:22" s="46" customFormat="1" ht="88.5" customHeight="1">
      <c r="A70" s="45"/>
      <c r="B70" s="13" t="s">
        <v>59</v>
      </c>
      <c r="C70" s="13" t="s">
        <v>82</v>
      </c>
      <c r="D70" s="14">
        <v>450</v>
      </c>
      <c r="E70" s="14" t="s">
        <v>5</v>
      </c>
      <c r="F70" s="78">
        <v>1.1499999999999999</v>
      </c>
      <c r="G70" s="78">
        <f t="shared" ref="G70" si="363">F70*1.1</f>
        <v>1.2649999999999999</v>
      </c>
      <c r="H70" s="79">
        <v>1.1000000000000001</v>
      </c>
      <c r="I70" s="80">
        <f t="shared" ref="I70" si="364">H70+0.1*H70</f>
        <v>1.2100000000000002</v>
      </c>
      <c r="J70" s="28">
        <f t="shared" ref="J70" si="365">F70/$K$3</f>
        <v>38.00522158696586</v>
      </c>
      <c r="K70" s="28">
        <f t="shared" ref="K70" si="366">G70/$K$3</f>
        <v>41.80574374566244</v>
      </c>
      <c r="L70" s="37">
        <f t="shared" ref="L70" si="367">H70/$K$3</f>
        <v>36.35282064840213</v>
      </c>
      <c r="M70" s="28">
        <f t="shared" ref="M70" si="368">I70/$K$3</f>
        <v>39.988102713242348</v>
      </c>
      <c r="N70" s="29">
        <f t="shared" ref="N70" si="369">F70/$L$3</f>
        <v>0.59474555233760862</v>
      </c>
      <c r="O70" s="29">
        <f t="shared" ref="O70" si="370">G70/$L$3</f>
        <v>0.65422010757136939</v>
      </c>
      <c r="P70" s="37">
        <f t="shared" ref="P70" si="371">H70/$L$3</f>
        <v>0.56888705006206042</v>
      </c>
      <c r="Q70" s="29">
        <f t="shared" ref="Q70" si="372">I70/$L$3</f>
        <v>0.62577575506826655</v>
      </c>
      <c r="R70" s="30">
        <f t="shared" ref="R70" si="373">F70/$M$3</f>
        <v>0.51778478162989638</v>
      </c>
      <c r="S70" s="30">
        <f t="shared" ref="S70" si="374">G70/$M$3</f>
        <v>0.56956325979288602</v>
      </c>
      <c r="T70" s="37">
        <f t="shared" ref="T70" si="375">H70/$M$3</f>
        <v>0.49527239981990095</v>
      </c>
      <c r="U70" s="30">
        <f t="shared" ref="U70" si="376">I70/$M$3</f>
        <v>0.54479963980189106</v>
      </c>
    </row>
    <row r="71" spans="1:22" ht="82.5" customHeight="1">
      <c r="B71" s="13" t="s">
        <v>60</v>
      </c>
      <c r="C71" s="13" t="s">
        <v>83</v>
      </c>
      <c r="D71" s="14">
        <v>1400</v>
      </c>
      <c r="E71" s="15" t="s">
        <v>4</v>
      </c>
      <c r="F71" s="78">
        <v>2.96</v>
      </c>
      <c r="G71" s="78">
        <f t="shared" ref="G71" si="377">F71*1.1</f>
        <v>3.2560000000000002</v>
      </c>
      <c r="H71" s="90">
        <v>2.78</v>
      </c>
      <c r="I71" s="80">
        <f t="shared" ref="I71" si="378">H71+0.1*H71</f>
        <v>3.0579999999999998</v>
      </c>
      <c r="J71" s="28">
        <f t="shared" ref="J71:M71" si="379">F71/$K$3</f>
        <v>97.822135562972989</v>
      </c>
      <c r="K71" s="28">
        <f t="shared" si="379"/>
        <v>107.60434911927031</v>
      </c>
      <c r="L71" s="37">
        <f t="shared" si="379"/>
        <v>91.873492184143544</v>
      </c>
      <c r="M71" s="28">
        <f t="shared" si="379"/>
        <v>101.06084140255791</v>
      </c>
      <c r="N71" s="29">
        <f>F71/$L$3</f>
        <v>1.5308233347124534</v>
      </c>
      <c r="O71" s="29">
        <f t="shared" ref="O71" si="380">G71/$L$3</f>
        <v>1.683905668183699</v>
      </c>
      <c r="P71" s="37">
        <f t="shared" ref="P71" si="381">H71/$L$3</f>
        <v>1.4377327265204798</v>
      </c>
      <c r="Q71" s="29">
        <f t="shared" ref="Q71" si="382">I71/$L$3</f>
        <v>1.5815059991725278</v>
      </c>
      <c r="R71" s="30">
        <f t="shared" ref="R71" si="383">F71/$M$3</f>
        <v>1.3327330031517335</v>
      </c>
      <c r="S71" s="30">
        <f>G71/$M$3</f>
        <v>1.4660063034669069</v>
      </c>
      <c r="T71" s="37">
        <f t="shared" ref="T71" si="384">H71/$M$3</f>
        <v>1.2516884286357495</v>
      </c>
      <c r="U71" s="30">
        <f t="shared" ref="U71" si="385">I71/$M$3</f>
        <v>1.3768572714993246</v>
      </c>
      <c r="V71" s="46"/>
    </row>
    <row r="72" spans="1:22" ht="72.75" customHeight="1">
      <c r="B72" s="13" t="s">
        <v>60</v>
      </c>
      <c r="C72" s="13" t="s">
        <v>83</v>
      </c>
      <c r="D72" s="14">
        <v>2900</v>
      </c>
      <c r="E72" s="15" t="s">
        <v>3</v>
      </c>
      <c r="F72" s="78">
        <f>4.04+0.66</f>
        <v>4.7</v>
      </c>
      <c r="G72" s="78">
        <f t="shared" ref="G72" si="386">F72*1.1</f>
        <v>5.1700000000000008</v>
      </c>
      <c r="H72" s="90">
        <f>3.81+0.66</f>
        <v>4.47</v>
      </c>
      <c r="I72" s="80">
        <f t="shared" ref="I72" si="387">H72+0.1*H72</f>
        <v>4.9169999999999998</v>
      </c>
      <c r="J72" s="28">
        <f t="shared" ref="J72" si="388">F72/$K$3</f>
        <v>155.3256882249909</v>
      </c>
      <c r="K72" s="28">
        <f t="shared" ref="K72" si="389">G72/$K$3</f>
        <v>170.85825704749001</v>
      </c>
      <c r="L72" s="37">
        <f>H72/$K$3</f>
        <v>147.72464390759774</v>
      </c>
      <c r="M72" s="28">
        <f t="shared" ref="M72" si="390">I72/$K$3</f>
        <v>162.49710829835749</v>
      </c>
      <c r="N72" s="29">
        <f>F72/$L$3</f>
        <v>2.4306992139015309</v>
      </c>
      <c r="O72" s="29">
        <f t="shared" ref="O72" si="391">G72/$L$3</f>
        <v>2.6737691352916841</v>
      </c>
      <c r="P72" s="37">
        <f t="shared" ref="P72" si="392">H72/$L$3</f>
        <v>2.3117501034340089</v>
      </c>
      <c r="Q72" s="29">
        <f t="shared" ref="Q72" si="393">I72/$L$3</f>
        <v>2.54292511377741</v>
      </c>
      <c r="R72" s="30">
        <f t="shared" ref="R72" si="394">F72/$M$3</f>
        <v>2.116163890139577</v>
      </c>
      <c r="S72" s="30">
        <f>G72/$M$3</f>
        <v>2.3277802791535347</v>
      </c>
      <c r="T72" s="37">
        <f t="shared" ref="T72" si="395">H72/$M$3</f>
        <v>2.0126069338135975</v>
      </c>
      <c r="U72" s="30">
        <f t="shared" ref="U72" si="396">I72/$M$3</f>
        <v>2.2138676271949569</v>
      </c>
    </row>
    <row r="73" spans="1:22" ht="23.25" customHeight="1">
      <c r="B73" s="92" t="s">
        <v>40</v>
      </c>
      <c r="C73" s="92"/>
      <c r="D73" s="92"/>
      <c r="E73" s="92"/>
      <c r="F73" s="92"/>
      <c r="G73" s="92"/>
      <c r="H73" s="92"/>
      <c r="I73" s="92"/>
      <c r="J73" s="92"/>
      <c r="K73" s="92"/>
      <c r="L73" s="92"/>
    </row>
    <row r="74" spans="1:22" ht="30.75" customHeight="1">
      <c r="B74" s="93" t="s">
        <v>103</v>
      </c>
      <c r="C74" s="93"/>
      <c r="D74" s="34"/>
      <c r="E74" s="8"/>
      <c r="F74" s="7"/>
      <c r="G74" s="7"/>
      <c r="H74" s="26"/>
      <c r="I74" s="27"/>
      <c r="J74" s="47"/>
      <c r="K74" s="26"/>
      <c r="L74" s="47"/>
    </row>
    <row r="75" spans="1:22" ht="18.75" customHeight="1">
      <c r="B75" s="94" t="s">
        <v>42</v>
      </c>
      <c r="C75" s="94"/>
      <c r="D75" s="33"/>
      <c r="E75" s="6"/>
      <c r="F75" s="6"/>
      <c r="G75" s="6"/>
      <c r="H75" s="26"/>
      <c r="I75" s="27"/>
      <c r="J75" s="47"/>
      <c r="K75" s="26"/>
      <c r="L75" s="47"/>
    </row>
    <row r="83" spans="2:2" ht="30" customHeight="1">
      <c r="B83" s="24" t="s">
        <v>25</v>
      </c>
    </row>
  </sheetData>
  <mergeCells count="18">
    <mergeCell ref="B1:I1"/>
    <mergeCell ref="C2:G6"/>
    <mergeCell ref="B17:U17"/>
    <mergeCell ref="B39:U39"/>
    <mergeCell ref="R7:U7"/>
    <mergeCell ref="B10:U10"/>
    <mergeCell ref="K4:N4"/>
    <mergeCell ref="J8:K8"/>
    <mergeCell ref="L8:M8"/>
    <mergeCell ref="F7:I7"/>
    <mergeCell ref="J7:M7"/>
    <mergeCell ref="N7:Q7"/>
    <mergeCell ref="B73:L73"/>
    <mergeCell ref="B74:C74"/>
    <mergeCell ref="B75:C75"/>
    <mergeCell ref="B46:U46"/>
    <mergeCell ref="B54:U54"/>
    <mergeCell ref="B65:U65"/>
  </mergeCells>
  <phoneticPr fontId="1" type="noConversion"/>
  <printOptions horizontalCentered="1"/>
  <pageMargins left="0.15748031496062992" right="0.19685039370078741" top="0.19685039370078741" bottom="0.15748031496062992" header="0" footer="0"/>
  <pageSetup paperSize="9" scale="60" fitToHeight="2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Гродненский консервный завод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Admin</cp:lastModifiedBy>
  <cp:lastPrinted>2016-09-23T07:15:09Z</cp:lastPrinted>
  <dcterms:created xsi:type="dcterms:W3CDTF">2010-03-11T14:20:13Z</dcterms:created>
  <dcterms:modified xsi:type="dcterms:W3CDTF">2016-09-28T06:31:05Z</dcterms:modified>
</cp:coreProperties>
</file>