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0005" windowHeight="10005"/>
  </bookViews>
  <sheets>
    <sheet name="BOLDetails1.xls" sheetId="1" r:id="rId1"/>
  </sheets>
  <calcPr calcId="125725"/>
</workbook>
</file>

<file path=xl/calcChain.xml><?xml version="1.0" encoding="utf-8"?>
<calcChain xmlns="http://schemas.openxmlformats.org/spreadsheetml/2006/main">
  <c r="P252" i="1"/>
  <c r="P251"/>
  <c r="P250"/>
  <c r="P249"/>
  <c r="P248"/>
  <c r="P247"/>
  <c r="P246"/>
  <c r="P245"/>
  <c r="P244"/>
  <c r="P243"/>
  <c r="P242"/>
  <c r="P241"/>
  <c r="P240"/>
  <c r="P239"/>
  <c r="P238"/>
  <c r="P237"/>
  <c r="P236"/>
  <c r="P235"/>
  <c r="P234"/>
  <c r="P233"/>
  <c r="P232"/>
  <c r="P231"/>
  <c r="P230"/>
  <c r="P229"/>
  <c r="P228"/>
  <c r="P227"/>
  <c r="P226"/>
  <c r="P225"/>
  <c r="P224"/>
  <c r="P223"/>
  <c r="P222"/>
  <c r="P221"/>
  <c r="P220"/>
  <c r="P219"/>
  <c r="P218"/>
  <c r="P217"/>
  <c r="P216"/>
  <c r="P215"/>
  <c r="P214"/>
  <c r="P213"/>
  <c r="P212"/>
  <c r="P211"/>
  <c r="P210"/>
  <c r="P209"/>
  <c r="P208"/>
  <c r="P207"/>
  <c r="P206"/>
  <c r="P205"/>
  <c r="P204"/>
  <c r="P203"/>
  <c r="P202"/>
  <c r="P201"/>
  <c r="P200"/>
  <c r="P199"/>
  <c r="P198"/>
  <c r="P197"/>
  <c r="P196"/>
  <c r="P195"/>
  <c r="P194"/>
  <c r="P193"/>
  <c r="P192"/>
  <c r="P191"/>
  <c r="P190"/>
  <c r="P189"/>
  <c r="P188"/>
  <c r="P187"/>
  <c r="P186"/>
  <c r="P185"/>
  <c r="P184"/>
  <c r="P183"/>
  <c r="P182"/>
  <c r="P181"/>
  <c r="P180"/>
  <c r="P179"/>
  <c r="P178"/>
  <c r="P177"/>
  <c r="P176"/>
  <c r="P175"/>
  <c r="P174"/>
  <c r="P173"/>
  <c r="P172"/>
  <c r="P171"/>
  <c r="P170"/>
  <c r="P169"/>
  <c r="P168"/>
  <c r="P167"/>
  <c r="P166"/>
  <c r="P165"/>
  <c r="P164"/>
  <c r="P163"/>
  <c r="P162"/>
  <c r="P161"/>
  <c r="P160"/>
  <c r="P159"/>
  <c r="P158"/>
  <c r="P157"/>
  <c r="P156"/>
  <c r="P155"/>
  <c r="P154"/>
  <c r="P153"/>
  <c r="P152"/>
  <c r="P151"/>
  <c r="P150"/>
  <c r="P149"/>
  <c r="P148"/>
  <c r="P147"/>
  <c r="P146"/>
  <c r="P145"/>
  <c r="P144"/>
  <c r="P143"/>
  <c r="P142"/>
  <c r="P141"/>
  <c r="P140"/>
  <c r="P139"/>
  <c r="P138"/>
  <c r="P137"/>
  <c r="P136"/>
  <c r="P135"/>
  <c r="P134"/>
  <c r="P133"/>
  <c r="P132"/>
  <c r="P131"/>
  <c r="P130"/>
  <c r="P129"/>
  <c r="P128"/>
  <c r="P127"/>
  <c r="P126"/>
  <c r="P125"/>
  <c r="P124"/>
  <c r="P123"/>
  <c r="P122"/>
  <c r="P121"/>
  <c r="P120"/>
  <c r="P119"/>
  <c r="P118"/>
  <c r="P117"/>
  <c r="P116"/>
  <c r="P115"/>
  <c r="P114"/>
  <c r="P113"/>
  <c r="P112"/>
  <c r="P111"/>
  <c r="P110"/>
  <c r="P109"/>
  <c r="P108"/>
  <c r="P107"/>
  <c r="P106"/>
  <c r="P105"/>
  <c r="P104"/>
  <c r="P103"/>
  <c r="P102"/>
  <c r="P101"/>
  <c r="P100"/>
  <c r="P99"/>
  <c r="P98"/>
  <c r="P97"/>
  <c r="P96"/>
  <c r="P95"/>
  <c r="P94"/>
  <c r="P93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P12"/>
  <c r="P11"/>
</calcChain>
</file>

<file path=xl/sharedStrings.xml><?xml version="1.0" encoding="utf-8"?>
<sst xmlns="http://schemas.openxmlformats.org/spreadsheetml/2006/main" count="10086" uniqueCount="1034">
  <si>
    <t>LOCATION</t>
  </si>
  <si>
    <t>LOT #</t>
  </si>
  <si>
    <t>BOL #</t>
  </si>
  <si>
    <t>CATEGORY</t>
  </si>
  <si>
    <t>RETURN TYPE</t>
  </si>
  <si>
    <t># OF PALLETS</t>
  </si>
  <si>
    <t># OF CARTONS</t>
  </si>
  <si>
    <t>TOTAL ORIGINAL COST</t>
  </si>
  <si>
    <t>TOTAL ORIGINAL RETAIL</t>
  </si>
  <si>
    <t># OF UNITS</t>
  </si>
  <si>
    <t>TOTAL CLIENT COST</t>
  </si>
  <si>
    <t>AVG. UNIT CLIENT COST</t>
  </si>
  <si>
    <t>SOUTH WINDSOR CRC, SOUTH WINDSOR, CT</t>
  </si>
  <si>
    <t>MENS APPAREL</t>
  </si>
  <si>
    <t>STORE STOCK</t>
  </si>
  <si>
    <t>TOTAL:</t>
  </si>
  <si>
    <t>DIVISION</t>
  </si>
  <si>
    <t>% OF UNITS</t>
  </si>
  <si>
    <t>CLIENT COST</t>
  </si>
  <si>
    <t>ORIGINAL COST</t>
  </si>
  <si>
    <t>BLM</t>
  </si>
  <si>
    <t>MCY</t>
  </si>
  <si>
    <t>UPC</t>
  </si>
  <si>
    <t>ITEM DESCRIPTION</t>
  </si>
  <si>
    <t>ORIGINAL QTY</t>
  </si>
  <si>
    <t>ORIGINAL RETAIL</t>
  </si>
  <si>
    <t>VENDOR / STYLE #</t>
  </si>
  <si>
    <t>COLOR</t>
  </si>
  <si>
    <t>SIZE</t>
  </si>
  <si>
    <t>DEPARTMENT NAME</t>
  </si>
  <si>
    <t>VENDOR NAME</t>
  </si>
  <si>
    <t>IMAGE</t>
  </si>
  <si>
    <t>769534263601</t>
  </si>
  <si>
    <t>CALVIN KLEIN PERFORATED SLIM-FIT LEATHER JA BLACK M</t>
  </si>
  <si>
    <t>40KC513</t>
  </si>
  <si>
    <t>CHARCOAL</t>
  </si>
  <si>
    <t>MEDIUM S/S</t>
  </si>
  <si>
    <t>CALVN KLEIN M</t>
  </si>
  <si>
    <t>CALVIN KLEIN SP/PHILLIPS-VAN HEUSEN</t>
  </si>
  <si>
    <t>610769747094</t>
  </si>
  <si>
    <t>HUGO BOSS COAT, BOCYN PEACOAT NAVY L</t>
  </si>
  <si>
    <t>BLUE</t>
  </si>
  <si>
    <t>LARGE S/S</t>
  </si>
  <si>
    <t>HUGO BOSS</t>
  </si>
  <si>
    <t>HUGO RED LABEL/HUGO BOSS FASHIONS</t>
  </si>
  <si>
    <t>610769747087</t>
  </si>
  <si>
    <t>HUGO BOSS COAT, BOCYN PEACOAT BLACK XXL</t>
  </si>
  <si>
    <t>BLACK</t>
  </si>
  <si>
    <t>XXLRG S/S</t>
  </si>
  <si>
    <t>610769747124</t>
  </si>
  <si>
    <t>HUGO BOSS COAT, BOCYN PEACOAT NAVY XL</t>
  </si>
  <si>
    <t>XLARGE S/S</t>
  </si>
  <si>
    <t>610769746899</t>
  </si>
  <si>
    <t>HUGO BOSS COAT, BOCYN PEACOAT BLACK S</t>
  </si>
  <si>
    <t>SMALL S/S</t>
  </si>
  <si>
    <t>610769747070</t>
  </si>
  <si>
    <t>HUGO BOSS COAT, BOCYN PEACOAT BLACK XL</t>
  </si>
  <si>
    <t>610769746875</t>
  </si>
  <si>
    <t>HUGO BOSS COAT, BOCYN PEACOAT BLACK L</t>
  </si>
  <si>
    <t>886992398789</t>
  </si>
  <si>
    <t>DEEP INDIGO TRIPLE BLUE CARSE</t>
  </si>
  <si>
    <t>ATA145417A</t>
  </si>
  <si>
    <t>MED BLUE</t>
  </si>
  <si>
    <t>31 R/M37.5</t>
  </si>
  <si>
    <t>LCOST/PREMDNM</t>
  </si>
  <si>
    <t>SEVEN FOR ALL MNKND-V F CORPORATION</t>
  </si>
  <si>
    <t>803801283562</t>
  </si>
  <si>
    <t>NAVY AD STYLE VTC SLIM STRAIT</t>
  </si>
  <si>
    <t>1049VTC</t>
  </si>
  <si>
    <t>NAVY</t>
  </si>
  <si>
    <t>33 R/M37.5</t>
  </si>
  <si>
    <t>AG ADRIANO GOLDSCHMIED INC</t>
  </si>
  <si>
    <t>636193192620</t>
  </si>
  <si>
    <t>CLUB ROOM BIG AND TALL CASHMERE V-NECK S FRENCH BLUE HEATHER LT</t>
  </si>
  <si>
    <t>26800BFH28</t>
  </si>
  <si>
    <t>LT/PASBLUE</t>
  </si>
  <si>
    <t>44 BIG</t>
  </si>
  <si>
    <t>B&amp;TSPRT&amp;SHORT</t>
  </si>
  <si>
    <t>CLUBROOM-MMG</t>
  </si>
  <si>
    <t>827952208212</t>
  </si>
  <si>
    <t>DIXO DIXO CLASSIC FIT</t>
  </si>
  <si>
    <t>ARXN8229</t>
  </si>
  <si>
    <t>DARK BLUE</t>
  </si>
  <si>
    <t>38 REG</t>
  </si>
  <si>
    <t>JOE'S JEANS INC</t>
  </si>
  <si>
    <t>827952135532</t>
  </si>
  <si>
    <t>JOE'S JEANS CLASSIC JEAN MARTIN 33</t>
  </si>
  <si>
    <t>DPMT8229</t>
  </si>
  <si>
    <t>33 REG</t>
  </si>
  <si>
    <t>827952135556</t>
  </si>
  <si>
    <t>JOE'S JEANS CLASSIC JEAN MARTIN 36</t>
  </si>
  <si>
    <t>36 REG</t>
  </si>
  <si>
    <t>887879257038</t>
  </si>
  <si>
    <t>POLO RALPH LAUREN SWEATER, HALF-ZIP MOCK NECK ME HUNTER NAVY L</t>
  </si>
  <si>
    <t>0114629ZHMP</t>
  </si>
  <si>
    <t>MENS POLO</t>
  </si>
  <si>
    <t>POLO RALPH LAUREN</t>
  </si>
  <si>
    <t>887879866568</t>
  </si>
  <si>
    <t>POLO RALPH LAUREN CREW NECK STRIPED PIMA COTTON IMPERIAL S</t>
  </si>
  <si>
    <t>0187150ABC</t>
  </si>
  <si>
    <t>BRIGHTBLUE</t>
  </si>
  <si>
    <t>887879866452</t>
  </si>
  <si>
    <t>POLO RALPH LAUREN CREW NECK STRIPED PIMA COTTON HUNTER NAVY M</t>
  </si>
  <si>
    <t>0187149ABC</t>
  </si>
  <si>
    <t>883820648177</t>
  </si>
  <si>
    <t>RALPH LAUREN NYLON-RLX DUFFEL BAG ORANGE OS</t>
  </si>
  <si>
    <t>4052011996TN</t>
  </si>
  <si>
    <t>DARKORANGE</t>
  </si>
  <si>
    <t>NO SIZE</t>
  </si>
  <si>
    <t>POLO RALPH LAUREN LEATHERGOODS</t>
  </si>
  <si>
    <t>887920192660</t>
  </si>
  <si>
    <t>BEIGE SUB RELAXED SHORT</t>
  </si>
  <si>
    <t>1185SUB</t>
  </si>
  <si>
    <t>BEIGEKHAKI</t>
  </si>
  <si>
    <t>36X34</t>
  </si>
  <si>
    <t>887920192677</t>
  </si>
  <si>
    <t>38X34</t>
  </si>
  <si>
    <t>769534873589</t>
  </si>
  <si>
    <t>CALVIN KLEIN PUFFER VEST BLACK S</t>
  </si>
  <si>
    <t>40HC565</t>
  </si>
  <si>
    <t>887879272819</t>
  </si>
  <si>
    <t>POLO RALPH LAUREN HIGH-TWIST COTTON HALF-ZIP MOC SHAMROCK HEATHER L</t>
  </si>
  <si>
    <t>0186176ZHMP</t>
  </si>
  <si>
    <t>MED GREEN</t>
  </si>
  <si>
    <t>887879868166</t>
  </si>
  <si>
    <t>POLO RALPH LAUREN V-NECK PIMA COTTON SWEATER CARMEL PINK S</t>
  </si>
  <si>
    <t>0187165FZ</t>
  </si>
  <si>
    <t>BRGHT PINK</t>
  </si>
  <si>
    <t>887879538960</t>
  </si>
  <si>
    <t>POLO RALPH LAUREN FRENCH-RIB HALF-ZIP MOCK NECK ADIRONDACK L</t>
  </si>
  <si>
    <t>MED BEIGE</t>
  </si>
  <si>
    <t>887879537703</t>
  </si>
  <si>
    <t>POLO RALPH LAUREN FRENCH-RIB HALF-ZIP PULLOVER S CLASSIC WINE L</t>
  </si>
  <si>
    <t>WINE</t>
  </si>
  <si>
    <t>887879290202</t>
  </si>
  <si>
    <t>POLO RALPH LAUREN SWEATER, V-NECK PIMA COTTON SW WINDSOR M</t>
  </si>
  <si>
    <t>0187457FZ</t>
  </si>
  <si>
    <t>DARK GRAY</t>
  </si>
  <si>
    <t>888132362612</t>
  </si>
  <si>
    <t>POLO RALPH LAUREN HALF-ZIP MOCK NECK FRENCH-RIB SUN ORANGE XXL</t>
  </si>
  <si>
    <t>BRGHTORANG</t>
  </si>
  <si>
    <t>888132918987</t>
  </si>
  <si>
    <t>POLO RALPH LAUREN STRAIGHT-FIT MARITIME MAP-PRIN MAP PRINT 42</t>
  </si>
  <si>
    <t>5882564ADJT</t>
  </si>
  <si>
    <t>42 REG</t>
  </si>
  <si>
    <t>888132357434</t>
  </si>
  <si>
    <t>POLO RALPH LAUREN SHORT-SLEEVED CHECKED PIMA JER CAPE PINK XXL</t>
  </si>
  <si>
    <t>MED PINK</t>
  </si>
  <si>
    <t>888132929730</t>
  </si>
  <si>
    <t>POLO RALPH LAUREN CUSTOM-FIT PLAID LINEN WORKSHI PINKNAVY S</t>
  </si>
  <si>
    <t>7987216WSGIS</t>
  </si>
  <si>
    <t>888132835260</t>
  </si>
  <si>
    <t>POLO RALPH LAUREN CUSTOM-FIT STRIPED MESH POLO DECKWASH WHITE S</t>
  </si>
  <si>
    <t>NATURAL</t>
  </si>
  <si>
    <t>888132909350</t>
  </si>
  <si>
    <t>POLO RALPH LAUREN STRAIGHT-FIT NEW HAVEN CHECKED BEDFORD BLUE 40</t>
  </si>
  <si>
    <t>5859913ADKH</t>
  </si>
  <si>
    <t>40 REG</t>
  </si>
  <si>
    <t>888132909633</t>
  </si>
  <si>
    <t>POLO RALPH LAUREN STRAIGHT-FIT NEW HAVEN CHECKED BEDFORD GREEN 40</t>
  </si>
  <si>
    <t>5859914ADKH</t>
  </si>
  <si>
    <t>BRIGHT GRN</t>
  </si>
  <si>
    <t>888529242749</t>
  </si>
  <si>
    <t>POLO RALPH LAUREN BEAR CUSTOM-FIT MESH POLO RL2000 RED XXL</t>
  </si>
  <si>
    <t>BRIGHT RED</t>
  </si>
  <si>
    <t>888132918550</t>
  </si>
  <si>
    <t>POLO RALPH LAUREN INDIGO-DYED DENIM CUTOFF SHORT INDIGO 40</t>
  </si>
  <si>
    <t>5882230COSHR</t>
  </si>
  <si>
    <t>888529242411</t>
  </si>
  <si>
    <t>POLO RALPH LAUREN BEAR CUSTOM-FIT MESH POLO POLO BLACK M</t>
  </si>
  <si>
    <t>769534571485</t>
  </si>
  <si>
    <t>CALVIN KLEIN MENS SWEATERS, RIBBED FULL ZIP SNOW WHITE M</t>
  </si>
  <si>
    <t>409S373</t>
  </si>
  <si>
    <t>WHITE</t>
  </si>
  <si>
    <t>888132830050</t>
  </si>
  <si>
    <t>POLO RALPH LAUREN STRIPED INDIGO CREW-NECK SHIRT DARK BLUE XL</t>
  </si>
  <si>
    <t>888132601568</t>
  </si>
  <si>
    <t>POLO RALPH LAUREN CUSTOM-FIT SHORT-SLEEVE TATTER WHITENAVY XXL</t>
  </si>
  <si>
    <t>7984079UZZH</t>
  </si>
  <si>
    <t>888132886507</t>
  </si>
  <si>
    <t>POLO RALPH LAUREN CLASSIC-FIT FLAT-FRONT CHINO P FADED GREEN 40X32</t>
  </si>
  <si>
    <t>4859926ADLM</t>
  </si>
  <si>
    <t>40X32</t>
  </si>
  <si>
    <t>886619827975</t>
  </si>
  <si>
    <t>166 PRINTED SIDE L</t>
  </si>
  <si>
    <t>MH9734</t>
  </si>
  <si>
    <t>BTR BRND CLSF</t>
  </si>
  <si>
    <t>LACOSTE/DEVANLAY US INC</t>
  </si>
  <si>
    <t>608381437165</t>
  </si>
  <si>
    <t>INC INTERNATIONAL CONCEPTS JAKE LINEN-BLEND BLAZER WHITE L</t>
  </si>
  <si>
    <t>42703WH540</t>
  </si>
  <si>
    <t>INC MENS</t>
  </si>
  <si>
    <t>INC-MMG</t>
  </si>
  <si>
    <t>885439036130</t>
  </si>
  <si>
    <t>LACOSTE SHIRT, CLASSIC PIQUE POLO COURTYARD GREEN S</t>
  </si>
  <si>
    <t>L1212</t>
  </si>
  <si>
    <t>GREEN</t>
  </si>
  <si>
    <t>8</t>
  </si>
  <si>
    <t>8055964514980</t>
  </si>
  <si>
    <t>ARMANI JEANS JEANS, HIGH RISE STRAIGHT LEG BLUE 30X30</t>
  </si>
  <si>
    <t>SMJ721B15</t>
  </si>
  <si>
    <t>30 REG</t>
  </si>
  <si>
    <t>ARMANI JEANS</t>
  </si>
  <si>
    <t>ARMANI JEANS/GIORGIO ARMANI CORP</t>
  </si>
  <si>
    <t>888132872234</t>
  </si>
  <si>
    <t>POLO RALPH LAUREN PIMA SOLID INTERLOCK - SOFT TO RUBY ROYAL M</t>
  </si>
  <si>
    <t>DARKPURPLE</t>
  </si>
  <si>
    <t>608381464277</t>
  </si>
  <si>
    <t>INC INTERNATIONAL CONCEPTS GRAND BLAZER LIGHT GREY COMBO S</t>
  </si>
  <si>
    <t>42700GY540</t>
  </si>
  <si>
    <t>LT/PAS GRY</t>
  </si>
  <si>
    <t>888132549402</t>
  </si>
  <si>
    <t>POLO RALPH LAUREN RELAXED-FIT RUGGED BLEECKER SH RELAX WHITE 40</t>
  </si>
  <si>
    <t>5859863ADIV</t>
  </si>
  <si>
    <t>883684940257</t>
  </si>
  <si>
    <t>KENNETH COLE REACTION BLAZER, SOLID 2 BUTTON BLACK S</t>
  </si>
  <si>
    <t>SR0H8502</t>
  </si>
  <si>
    <t>KC REACTION</t>
  </si>
  <si>
    <t>KENNETH COLE REACTION/KC PRODCTNS</t>
  </si>
  <si>
    <t>887004175640</t>
  </si>
  <si>
    <t>BAYS SEERSUCKER CHAPPY TRUNKS</t>
  </si>
  <si>
    <t>1M0141</t>
  </si>
  <si>
    <t>VINEYARD VINES</t>
  </si>
  <si>
    <t>887692056481</t>
  </si>
  <si>
    <t>KENNETH COLE NEW YORK ZIP-POCKET LINEN SHIRT MARLIN XXL</t>
  </si>
  <si>
    <t>SM4B6513</t>
  </si>
  <si>
    <t>KENNETH COLE</t>
  </si>
  <si>
    <t>KENNETH COLE PRODUCTIONS</t>
  </si>
  <si>
    <t>765460656029</t>
  </si>
  <si>
    <t>TOMMY HILFIGER BIG AND TALL NEW INDEPENDENT S CLASSIC WHITE 3XL</t>
  </si>
  <si>
    <t>L-SHT LEG</t>
  </si>
  <si>
    <t>B&amp;T COLLECTNS</t>
  </si>
  <si>
    <t>TOMMY HILFIGER</t>
  </si>
  <si>
    <t>888132549556</t>
  </si>
  <si>
    <t>POLO RALPH LAUREN CLASSIC-FIT CHINO SHORTS WHITE 42</t>
  </si>
  <si>
    <t>5859874ADJL</t>
  </si>
  <si>
    <t>685614222248</t>
  </si>
  <si>
    <t>PERRY ELLIS BIG AND TALL BOMBER JACKET BLACK LT</t>
  </si>
  <si>
    <t>DP742893</t>
  </si>
  <si>
    <t>14.5 TL/LG</t>
  </si>
  <si>
    <t>B&amp;T OUTERWEAR</t>
  </si>
  <si>
    <t>PERRY ELLIS/LOU LEVY &amp; SONS</t>
  </si>
  <si>
    <t>886619019080</t>
  </si>
  <si>
    <t>LACOSTE LONG-SLEEVED HENLEY BLACK XXL</t>
  </si>
  <si>
    <t>TH3082</t>
  </si>
  <si>
    <t>94832226356</t>
  </si>
  <si>
    <t>PERRY ELLIS PINSTRIPE VEST CHARCOAL S</t>
  </si>
  <si>
    <t>44SV7407PS</t>
  </si>
  <si>
    <t>PERRY ELLIS</t>
  </si>
  <si>
    <t>PERRY ELLIS/SALANT CORPORATION</t>
  </si>
  <si>
    <t>769534919355</t>
  </si>
  <si>
    <t>CALVIN KLEIN MICRO DOBBY SLIM FIT SHIRT SKY BLUE XXL</t>
  </si>
  <si>
    <t>40JW183</t>
  </si>
  <si>
    <t>769534675251</t>
  </si>
  <si>
    <t>CALVIN KLEIN SWEATER, SLIM FIT V-NECK SWEAT NAVY YARD 2XL</t>
  </si>
  <si>
    <t>40ZS356</t>
  </si>
  <si>
    <t>32546765402</t>
  </si>
  <si>
    <t>THE NORTH FACE BETTER THAN NAKED LONG HAUL SH TNF BLACK L</t>
  </si>
  <si>
    <t>A9KNKW6</t>
  </si>
  <si>
    <t>MED MEDREG</t>
  </si>
  <si>
    <t>NORTH FACE</t>
  </si>
  <si>
    <t>NORTH FACE/VF OUTDOOR INC/V F CORP</t>
  </si>
  <si>
    <t>769534233802</t>
  </si>
  <si>
    <t>CALVIN KLEIN FLAT-FRONT PANTS PHANTOM 30X32</t>
  </si>
  <si>
    <t>40KB654</t>
  </si>
  <si>
    <t>GRAY</t>
  </si>
  <si>
    <t>30X32</t>
  </si>
  <si>
    <t>770966404388</t>
  </si>
  <si>
    <t>TALLIA SHIRT, LONG SLEEVE BLACK PAISL L</t>
  </si>
  <si>
    <t>T8040M</t>
  </si>
  <si>
    <t>MENS BTR COL</t>
  </si>
  <si>
    <t>TALLIA/CAULFEILD APPAREL GROUP LTD</t>
  </si>
  <si>
    <t>883644299586</t>
  </si>
  <si>
    <t>S:NAVY WASHED ICON TE</t>
  </si>
  <si>
    <t>E67S77A</t>
  </si>
  <si>
    <t>PRPS/AKADEMIKS-KEMISTRE 8 LLC</t>
  </si>
  <si>
    <t>736835952572</t>
  </si>
  <si>
    <t>PERRY ELLIS SHIRT, LONG-SLEEVE PLAID SLATE XL</t>
  </si>
  <si>
    <t>43FW7018PS</t>
  </si>
  <si>
    <t>766370473331</t>
  </si>
  <si>
    <t>INC INTERNATIONAL CONCEPTS PANTS, SLIM FIT STRAIGHT LEG P BLACK 38X34</t>
  </si>
  <si>
    <t>32650BL540</t>
  </si>
  <si>
    <t>INC MENS-MMG</t>
  </si>
  <si>
    <t>636202678404</t>
  </si>
  <si>
    <t>INC INTERNATIONAL CONCEPTS SWEATER, GENIE ARGYLE SWEATER CHARCOAL L</t>
  </si>
  <si>
    <t>3N410CH540</t>
  </si>
  <si>
    <t>886878903144</t>
  </si>
  <si>
    <t>DOCKERS PANTS, CITY KHAKI DARK KHAKI 38X29</t>
  </si>
  <si>
    <t>RUSTCOPPER</t>
  </si>
  <si>
    <t>38X29</t>
  </si>
  <si>
    <t>MN CAS SLACKS</t>
  </si>
  <si>
    <t>DOCKERS/LEVI STRAUSS</t>
  </si>
  <si>
    <t>887035223419</t>
  </si>
  <si>
    <t>DOCKERS PANTS, ALPHA KHAKI SLIM FIT FIREBRUSH 34X32</t>
  </si>
  <si>
    <t>DARK PINK</t>
  </si>
  <si>
    <t>34X32</t>
  </si>
  <si>
    <t>636202576779</t>
  </si>
  <si>
    <t>INC INTERNATIONAL CONCEPTS CAMO PRINT VEST DEEP BLACK XXL</t>
  </si>
  <si>
    <t>30815BL540</t>
  </si>
  <si>
    <t>608356745042</t>
  </si>
  <si>
    <t>INC INTERNATIONAL CONCEPTS RAGLAN ZIP-FRONT COATED COLORB GREY XXL</t>
  </si>
  <si>
    <t>42812GR540</t>
  </si>
  <si>
    <t>770966436969</t>
  </si>
  <si>
    <t>TALLIA GREY PAISLEY SLIM-FIT SHIRT GRAY COMBO M</t>
  </si>
  <si>
    <t>T9010M</t>
  </si>
  <si>
    <t>770966436952</t>
  </si>
  <si>
    <t>TALLIA GREY PAISLEY SLIM-FIT SHIRT GRAY COMBO L</t>
  </si>
  <si>
    <t>770966436945</t>
  </si>
  <si>
    <t>TALLIA GREY PAISLEY SLIM-FIT SHIRT GRAY COMBO XL</t>
  </si>
  <si>
    <t>770966435870</t>
  </si>
  <si>
    <t>TALLIA LONG-SLEEVE PAISLEY SHIRT GREEN COMBO S</t>
  </si>
  <si>
    <t>T9021M</t>
  </si>
  <si>
    <t>770966436938</t>
  </si>
  <si>
    <t>TALLIA GREY PAISLEY SLIM-FIT SHIRT GRAY COMBO XXL</t>
  </si>
  <si>
    <t>769534949321</t>
  </si>
  <si>
    <t>CALVIN KLEIN SHOULDER PRINT POLO SHIRT BLACK L</t>
  </si>
  <si>
    <t>40JK284</t>
  </si>
  <si>
    <t>885649087236</t>
  </si>
  <si>
    <t>POLO RALPH LAUREN PANTS, PRESTON FLAT FRONT CHIN HUDSON TAN 33X32</t>
  </si>
  <si>
    <t>7875075PRES</t>
  </si>
  <si>
    <t>33X32</t>
  </si>
  <si>
    <t>769534945828</t>
  </si>
  <si>
    <t>CALVIN KLEIN ENGINEERED STRIPE POLO SHIRT PEARL COMBO S</t>
  </si>
  <si>
    <t>40JK205</t>
  </si>
  <si>
    <t>849759007478</t>
  </si>
  <si>
    <t>INC INTERNATIONAL CONCEPTS SLYNT SLIM-FIT JEANS BLACK 36X30</t>
  </si>
  <si>
    <t>47650BL540</t>
  </si>
  <si>
    <t>670113071688</t>
  </si>
  <si>
    <t>NAUTICA BIG AND TALL JEANS, RELAXED-FI MARINE RINSE 52X30</t>
  </si>
  <si>
    <t>0D3500</t>
  </si>
  <si>
    <t>BRNOVERFLW</t>
  </si>
  <si>
    <t>52X30</t>
  </si>
  <si>
    <t>NAUTICA/NAUTICA INTL/V F CORP</t>
  </si>
  <si>
    <t>849759005603</t>
  </si>
  <si>
    <t>INC INTERNATIONAL CONCEPTS LOW-RISE PAX JEANS DARK WASH 30X30</t>
  </si>
  <si>
    <t>42652DW540</t>
  </si>
  <si>
    <t>30X30</t>
  </si>
  <si>
    <t>636193830744</t>
  </si>
  <si>
    <t>GREG NORMAN BIG AND TALL PIECED QUARTER-ZI DEEP BLACK 2XLT</t>
  </si>
  <si>
    <t>46287BDPBK</t>
  </si>
  <si>
    <t>48 BIG</t>
  </si>
  <si>
    <t>GREG NORMAN FOR TASSO ELBA/GOLF</t>
  </si>
  <si>
    <t>8051402342931</t>
  </si>
  <si>
    <t>ARMANI JEANS SHIRT, ROMA CITY LOGO T-SHIRT PURPLE 2XL</t>
  </si>
  <si>
    <t>TMH94RMW4</t>
  </si>
  <si>
    <t>17459678926</t>
  </si>
  <si>
    <t>KENNETH COLE REACTION DRESS PANTS, MINI WINDOWPANE S NAVY 30X32</t>
  </si>
  <si>
    <t>KD10280</t>
  </si>
  <si>
    <t>MN DRESS SLAC</t>
  </si>
  <si>
    <t>REACTION/KC/HAGGAR CLOTHING CO</t>
  </si>
  <si>
    <t>636193256858</t>
  </si>
  <si>
    <t>CLUB ROOM BIG AND TALL MERINO-BLEND QUAR DARK TAUPE HEATHER 3XB</t>
  </si>
  <si>
    <t>26302BDT28</t>
  </si>
  <si>
    <t>MED BROWN</t>
  </si>
  <si>
    <t>17459678872</t>
  </si>
  <si>
    <t>KENNETH COLE REACTION DRESS PANTS, MINI WINDOWPANE S NAVY 34X30</t>
  </si>
  <si>
    <t>34X30</t>
  </si>
  <si>
    <t>17459678858</t>
  </si>
  <si>
    <t>KENNETH COLE REACTION DRESS PANTS, MINI WINDOWPANE S NAVY 32X30</t>
  </si>
  <si>
    <t>32X30</t>
  </si>
  <si>
    <t>17459678834</t>
  </si>
  <si>
    <t>KENNETH COLE REACTION DRESS PANTS, MINI WINDOWPANE S NAVY 30X30</t>
  </si>
  <si>
    <t>636193256841</t>
  </si>
  <si>
    <t>CLUB ROOM BIG AND TALL MERINO-BLEND QUAR DARK TAUPE HEATHER 2XB</t>
  </si>
  <si>
    <t>17459562461</t>
  </si>
  <si>
    <t>KENNETH COLE REACTION PANTS, TIC WEAVE SLIM-FIT PANT GREY 36X29</t>
  </si>
  <si>
    <t>KD00273</t>
  </si>
  <si>
    <t>MED GRAY</t>
  </si>
  <si>
    <t>36X29</t>
  </si>
  <si>
    <t>17459563598</t>
  </si>
  <si>
    <t>KENNETH COLE REACTION PANTS, TIC WEAVE SLIM-FIT PANT GREY 36X32</t>
  </si>
  <si>
    <t>36X32</t>
  </si>
  <si>
    <t>17459563581</t>
  </si>
  <si>
    <t>KENNETH COLE REACTION PANTS, TIC WEAVE SLIM-FIT PANT GREY 34X32</t>
  </si>
  <si>
    <t>17459679060</t>
  </si>
  <si>
    <t>KENNETH COLE REACTION DRESS PANTS, MINI WINDOWPANE S NAVY 38X29</t>
  </si>
  <si>
    <t>17459563680</t>
  </si>
  <si>
    <t>KENNETH COLE REACTION PANTS, TIC WEAVE SLIM-FIT PANT GREY 32X30</t>
  </si>
  <si>
    <t>17459563666</t>
  </si>
  <si>
    <t>KENNETH COLE REACTION PANTS, TIC WEAVE SLIM-FIT PANT GREY 30X30</t>
  </si>
  <si>
    <t>769534940342</t>
  </si>
  <si>
    <t>CALVIN KLEIN SLUB PLAID SHORTS BLUE GRAPHITE 32</t>
  </si>
  <si>
    <t>40JB654</t>
  </si>
  <si>
    <t>32 REG</t>
  </si>
  <si>
    <t>883850908357</t>
  </si>
  <si>
    <t>KENNETH COLE REACTION 5 POCKET PANTS DIM GREY COMBO 33X30</t>
  </si>
  <si>
    <t>SR3H9508</t>
  </si>
  <si>
    <t>SILVER</t>
  </si>
  <si>
    <t>33X30</t>
  </si>
  <si>
    <t>94832304160</t>
  </si>
  <si>
    <t>PERRY ELLIS SLIM-FIT MINI-PATTERN SHIRT BLACK XXL</t>
  </si>
  <si>
    <t>44MW7077PS</t>
  </si>
  <si>
    <t>608381526104</t>
  </si>
  <si>
    <t>INC INTERNATIONAL CONCEPTS ROLLES SLIM-FIT VEST NAVY XXL</t>
  </si>
  <si>
    <t>43303NA540</t>
  </si>
  <si>
    <t>636189336403</t>
  </si>
  <si>
    <t>INC INTERNATIONAL CONCEPTS LINEN-BLEND FIVE-POCKET PANTS WHITE 36X34</t>
  </si>
  <si>
    <t>42610SWH540</t>
  </si>
  <si>
    <t>636189336335</t>
  </si>
  <si>
    <t>INC INTERNATIONAL CONCEPTS LINEN-BLEND FIVE-POCKET PANTS WHITE 34X30</t>
  </si>
  <si>
    <t>636193720823</t>
  </si>
  <si>
    <t>TASSO ELBA CAILYN PLAID SHIRT BLUE 4XL</t>
  </si>
  <si>
    <t>36186BBLUC</t>
  </si>
  <si>
    <t>TASSO ELBA-MMG</t>
  </si>
  <si>
    <t>886878791512</t>
  </si>
  <si>
    <t>DOCKERS OFF THE CLOCK STRAIGHT-FIT FLA GRAVEL 30X30</t>
  </si>
  <si>
    <t>786096326575</t>
  </si>
  <si>
    <t>SPEEDO BLENDED CUBES E-BOARD SHORTS BLACK XL</t>
  </si>
  <si>
    <t>MENS SWIMWEAR</t>
  </si>
  <si>
    <t>SPEEDO-AUTHENTIC FITNESS</t>
  </si>
  <si>
    <t>886521652818</t>
  </si>
  <si>
    <t>TASSO ELBA PANTS, WOOL-BLEND MELANGE PANT GREY 36X29</t>
  </si>
  <si>
    <t>33559GGREY</t>
  </si>
  <si>
    <t>TASSO ELBA</t>
  </si>
  <si>
    <t>94832216227</t>
  </si>
  <si>
    <t>PERRY ELLIS LONG SLEEVE V-NECK SHIRT DREAM BLUE XL</t>
  </si>
  <si>
    <t>44SG7207PS</t>
  </si>
  <si>
    <t>608381790895</t>
  </si>
  <si>
    <t>ALFANI TWILL VEST DEEP BLACK S</t>
  </si>
  <si>
    <t>14404BC436</t>
  </si>
  <si>
    <t>ALFANI</t>
  </si>
  <si>
    <t>ALFANI RED-MMG/ALFANI</t>
  </si>
  <si>
    <t>97987183703</t>
  </si>
  <si>
    <t>WEATHERPROOF VINTAGE SWEATER, CHUNKY SHAWL- CONCORD L</t>
  </si>
  <si>
    <t>F34020ME</t>
  </si>
  <si>
    <t>PURPLE</t>
  </si>
  <si>
    <t>LRG MEDREG</t>
  </si>
  <si>
    <t>SWEATRS&amp;OUTDR</t>
  </si>
  <si>
    <t>WEATHERPROOF-DAVID PEYSER SPRTSW</t>
  </si>
  <si>
    <t>766380323657</t>
  </si>
  <si>
    <t>INC INTERNATIONAL CONCEPTS EDV ALLEN SLIM FIT STRETCH PAN NAVY 36X30</t>
  </si>
  <si>
    <t>37606NA540</t>
  </si>
  <si>
    <t>888132370280</t>
  </si>
  <si>
    <t>POLO RALPH LAUREN CUSTOM-FIT COTTON JERSEY CREW- WHITE S</t>
  </si>
  <si>
    <t>888132369055</t>
  </si>
  <si>
    <t>POLO RALPH LAUREN CLASSIC-FIT COTTON JERSEY POCK PACIFIC ROYAL S</t>
  </si>
  <si>
    <t>762120163620</t>
  </si>
  <si>
    <t>INC INTERNATIONAL CONCEPTS SHIRT, LONG SLEEVE CONWAY SHIR ALASKAN BLUE L</t>
  </si>
  <si>
    <t>22500AK540</t>
  </si>
  <si>
    <t>INC-EDI/RWI/GHIM LI GLOBAL</t>
  </si>
  <si>
    <t>798698325580</t>
  </si>
  <si>
    <t>NAVY NY YANKEES</t>
  </si>
  <si>
    <t>SM869RNYY</t>
  </si>
  <si>
    <t>O CLS ACT/T Z</t>
  </si>
  <si>
    <t>RED JACKET/AMERICAN NEEDLE &amp; NOVELT</t>
  </si>
  <si>
    <t>798698325801</t>
  </si>
  <si>
    <t>MIDN NY YANKEES SMU EXPO</t>
  </si>
  <si>
    <t>SM869RBNYY</t>
  </si>
  <si>
    <t>798698325474</t>
  </si>
  <si>
    <t>GREY NY METS</t>
  </si>
  <si>
    <t>SM869RNYM</t>
  </si>
  <si>
    <t>798698325818</t>
  </si>
  <si>
    <t>798698325825</t>
  </si>
  <si>
    <t>798698325566</t>
  </si>
  <si>
    <t>798698325467</t>
  </si>
  <si>
    <t>798698325832</t>
  </si>
  <si>
    <t>798698325481</t>
  </si>
  <si>
    <t>740700364162</t>
  </si>
  <si>
    <t>BEN HOGAN ADJUSTABLE FLAT-FRONT PERFORMA SILVER LINING 38</t>
  </si>
  <si>
    <t>BGBS4016DS</t>
  </si>
  <si>
    <t>GOLF</t>
  </si>
  <si>
    <t>BEN HOGAN/SUPREME/PERRY ELLIS</t>
  </si>
  <si>
    <t>885608809121</t>
  </si>
  <si>
    <t>DOCKERS PANTS, D4 SIGNATURE RELAXED FI DARK KHAKI 40X32</t>
  </si>
  <si>
    <t>LT/PAS BWN</t>
  </si>
  <si>
    <t>39307075985</t>
  </si>
  <si>
    <t>DOCKERS DOCKERS SIGNATURE KHAKI FLAT-F DARK OLIVE 38X32</t>
  </si>
  <si>
    <t>LT/PAS GRN</t>
  </si>
  <si>
    <t>38X32</t>
  </si>
  <si>
    <t>608381455534</t>
  </si>
  <si>
    <t>INC INTERNATIONAL CONCEPTS ELIJAH SLIM-FIT VEST DARK GREY XL</t>
  </si>
  <si>
    <t>43300DG540</t>
  </si>
  <si>
    <t>766360904425</t>
  </si>
  <si>
    <t>ALFANI SHIRT, LONG-SLEEVE HINKLEY STR DARK RUBY XLT</t>
  </si>
  <si>
    <t>18165DR499</t>
  </si>
  <si>
    <t>DARK RED</t>
  </si>
  <si>
    <t>ALFANI-MMG</t>
  </si>
  <si>
    <t>848257029319</t>
  </si>
  <si>
    <t>TASSO ELBA SWEATER, QUARTER-ZIP MOCK NECK CHARCOAL HEATHER M</t>
  </si>
  <si>
    <t>32230RCHAR</t>
  </si>
  <si>
    <t>TASSO ELBA-EDI/PACIFIC TEXTILES</t>
  </si>
  <si>
    <t>608356512149</t>
  </si>
  <si>
    <t>ALFANI SWEATER, V-NECK COLORBLOCKED C DEEP BLACK COMBO M</t>
  </si>
  <si>
    <t>14315DB436</t>
  </si>
  <si>
    <t>740700237909</t>
  </si>
  <si>
    <t>PGA TOUR FANCY GOLF PANTS SLEET GREY 40X29</t>
  </si>
  <si>
    <t>PVBS40F1DS</t>
  </si>
  <si>
    <t>40X29</t>
  </si>
  <si>
    <t>PGA TOUR/SUPREME/PERRY ELLIS</t>
  </si>
  <si>
    <t>608381443746</t>
  </si>
  <si>
    <t>INC INTERNATIONAL CONCEPTS SACKLER JEAN SHIRT BLACK XXL</t>
  </si>
  <si>
    <t>42534BL540</t>
  </si>
  <si>
    <t>636189422717</t>
  </si>
  <si>
    <t>INC INTERNATIONAL CONCEPTS EDGAR SLIM-FIT SHIRT WHITE M</t>
  </si>
  <si>
    <t>45500WT540</t>
  </si>
  <si>
    <t>39304227394</t>
  </si>
  <si>
    <t>DOCKERS COMFORT WAIST FF BLACK 34X32</t>
  </si>
  <si>
    <t>608356261603</t>
  </si>
  <si>
    <t>INC INTERNATIONAL CONCEPTS UNCLE RIB PLAITED MAROONGREY HEATHER S</t>
  </si>
  <si>
    <t>3N401MN540</t>
  </si>
  <si>
    <t>608381508773</t>
  </si>
  <si>
    <t>INC INTERNATIONAL CONCEPTS OTUS PLAID SHORTS WHITE COMBO 30W</t>
  </si>
  <si>
    <t>42235WH540</t>
  </si>
  <si>
    <t>14056169529</t>
  </si>
  <si>
    <t>IZOD GOLF PANTS, SLIM-FIT MICROSAND BLACK 33X30</t>
  </si>
  <si>
    <t>45FF216</t>
  </si>
  <si>
    <t>IZOD/PHILLIPS VAN HEUSEN</t>
  </si>
  <si>
    <t>14056169581</t>
  </si>
  <si>
    <t>IZOD GOLF PANTS, SLIM-FIT MICROSAND BLACK 32X32</t>
  </si>
  <si>
    <t>32X32</t>
  </si>
  <si>
    <t>14056169536</t>
  </si>
  <si>
    <t>IZOD GOLF PANTS, SLIM-FIT MICROSAND BLACK 34X30</t>
  </si>
  <si>
    <t>719240878132</t>
  </si>
  <si>
    <t>IZOD PANTS, FLAT FRONT MICROFIBER G HIGH RISE 32X32</t>
  </si>
  <si>
    <t>14056169604</t>
  </si>
  <si>
    <t>IZOD GOLF PANTS, SLIM-FIT MICROSAND BLACK 34X32</t>
  </si>
  <si>
    <t>14056169512</t>
  </si>
  <si>
    <t>IZOD GOLF PANTS, SLIM-FIT MICROSAND BLACK 32X30</t>
  </si>
  <si>
    <t>14056169772</t>
  </si>
  <si>
    <t>IZOD GOLF PANTS, SLIM-FIT MICROSAND SILVER NICKEL 34X30</t>
  </si>
  <si>
    <t>14056169611</t>
  </si>
  <si>
    <t>IZOD GOLF PANTS, SLIM-FIT MICROSAND BLACK 36X32</t>
  </si>
  <si>
    <t>14056169543</t>
  </si>
  <si>
    <t>IZOD GOLF PANTS, SLIM-FIT MICROSAND BLACK 36X30</t>
  </si>
  <si>
    <t>733003861797</t>
  </si>
  <si>
    <t>INC INTERNATIONAL CONCEPTS PANTS, CORE SPRINGER MICRODOT BLACK MICRODOT 32X32</t>
  </si>
  <si>
    <t>13612BL540</t>
  </si>
  <si>
    <t>INC-EDI/RWI/CAMBRIDGE MEMBERS</t>
  </si>
  <si>
    <t>97987182607</t>
  </si>
  <si>
    <t>WEATHERPROOF VINTAGE SWEATER, MARLED CREW N OATMEAL MARL L</t>
  </si>
  <si>
    <t>F35948ME</t>
  </si>
  <si>
    <t>14056116073</t>
  </si>
  <si>
    <t>IZOD SHIRT, SLIM-FIT LONG-SLEEVE WI PURPLE TILL S</t>
  </si>
  <si>
    <t>45FW505</t>
  </si>
  <si>
    <t>IZOD MENS</t>
  </si>
  <si>
    <t>636193833462</t>
  </si>
  <si>
    <t>GREG NORMAN COLORBLOCKED PERFORMANCE GOLF DEEP BLACK L</t>
  </si>
  <si>
    <t>45253DPBLK</t>
  </si>
  <si>
    <t>GREG NORMAN</t>
  </si>
  <si>
    <t>GREG NORMAN FOR TASSO ELBA-MMG</t>
  </si>
  <si>
    <t>53474425558</t>
  </si>
  <si>
    <t>NIKE SWIMWEAR, CORE VELOCITY VOLLEY PHOTO BLUE 3XL</t>
  </si>
  <si>
    <t>TFSS0256</t>
  </si>
  <si>
    <t>MEDUIM</t>
  </si>
  <si>
    <t>JAG SWIMWEAR/SUPREME/PERRY ELLIS</t>
  </si>
  <si>
    <t>888111247459</t>
  </si>
  <si>
    <t>NY KNICKS TANK</t>
  </si>
  <si>
    <t>B1144-7828</t>
  </si>
  <si>
    <t>JUNKFOOD/JUNK FOOD CLOTHING COMPANY</t>
  </si>
  <si>
    <t>53474425565</t>
  </si>
  <si>
    <t>NIKE SWIMWEAR, CORE VELOCITY VOLLEY PHOTO BLUE 4XL</t>
  </si>
  <si>
    <t>LARGE</t>
  </si>
  <si>
    <t>53474425848</t>
  </si>
  <si>
    <t>NIKE NIKE BIG AND TALL SWIMWEAR, VO BLACK 4XL</t>
  </si>
  <si>
    <t>TFSS0257</t>
  </si>
  <si>
    <t>LT/PAS RED</t>
  </si>
  <si>
    <t>53474425398</t>
  </si>
  <si>
    <t>NIKE NIKE BIG AND TALL SWIMWEAR, VO OBSIDIAN 4XL</t>
  </si>
  <si>
    <t>888111247442</t>
  </si>
  <si>
    <t>636189838471</t>
  </si>
  <si>
    <t>GREG NORMAN GOLF SHORTS, MICROFIBER SHORTS CORONET BLUE 42</t>
  </si>
  <si>
    <t>44506CRNTB</t>
  </si>
  <si>
    <t>19783000275</t>
  </si>
  <si>
    <t>HAGGAR PLEATED CLASSIC-FIT MICROFIBER TAUPE 38X34</t>
  </si>
  <si>
    <t>PC00002</t>
  </si>
  <si>
    <t>HAGGAR CO</t>
  </si>
  <si>
    <t>53474425831</t>
  </si>
  <si>
    <t>NIKE NIKE BIG AND TALL SWIMWEAR, VO BLACK 3XL</t>
  </si>
  <si>
    <t>53474425381</t>
  </si>
  <si>
    <t>NIKE NIKE BIG AND TALL SWIMWEAR, VO OBSIDIAN 3XL</t>
  </si>
  <si>
    <t>888111247466</t>
  </si>
  <si>
    <t>715752413366</t>
  </si>
  <si>
    <t>THE NORTH FACE HONO M VOLTAGE SHORTS HONOR BLUEPOWER GREEN L</t>
  </si>
  <si>
    <t>A9HVBH1</t>
  </si>
  <si>
    <t>53474450925</t>
  </si>
  <si>
    <t>NIKE VORTEX SPLICE 9 E-BOARD SWIM BASE GREY XL</t>
  </si>
  <si>
    <t>NESS4360MM</t>
  </si>
  <si>
    <t>NIKE/SUPREME INTL/PERRY ELLIS</t>
  </si>
  <si>
    <t>17459263399</t>
  </si>
  <si>
    <t>KENNETH COLE REACTION KENNETH COLE REACTION DRESS PA GREY 32X32</t>
  </si>
  <si>
    <t>KD50221</t>
  </si>
  <si>
    <t>608381494632</t>
  </si>
  <si>
    <t>TASSO ELBA LONG-SLEEVE PICARD PLAID SHIRT PINK XL</t>
  </si>
  <si>
    <t>34104CPINK</t>
  </si>
  <si>
    <t>883850824947</t>
  </si>
  <si>
    <t>KENNETH COLE REACTION PANT, TONAL HERRINGBONE SLANT BLACK COMBO 36X34</t>
  </si>
  <si>
    <t>SR3F9521</t>
  </si>
  <si>
    <t>883850683919</t>
  </si>
  <si>
    <t>KENNETH COLE REACTION PINSTRIPE PANTS BLACK 34X34</t>
  </si>
  <si>
    <t>SR3A9505</t>
  </si>
  <si>
    <t>34X34</t>
  </si>
  <si>
    <t>607048552807</t>
  </si>
  <si>
    <t>CAMO/BLUE LS HENLEY</t>
  </si>
  <si>
    <t>01989EA</t>
  </si>
  <si>
    <t>ALTERNATIVE APPAREL INC</t>
  </si>
  <si>
    <t>766380950464</t>
  </si>
  <si>
    <t>ALFANI SWEATER, SLIM-FIT V-NECK TEXTU BLACK ICE HEATHER M</t>
  </si>
  <si>
    <t>14300BI436</t>
  </si>
  <si>
    <t>736835373841</t>
  </si>
  <si>
    <t>PERRY ELLIS PANTS, FLAT FRONT SOLID TWILL CRIMINI 38X30</t>
  </si>
  <si>
    <t>42SB7323PS</t>
  </si>
  <si>
    <t>38X30</t>
  </si>
  <si>
    <t>607048529922</t>
  </si>
  <si>
    <t>ECO FADEDROSE L/S ZIP HOODIE</t>
  </si>
  <si>
    <t>PINK</t>
  </si>
  <si>
    <t>97987322430</t>
  </si>
  <si>
    <t>WEATHERPROOF WASHED DYE SOLID 7 E-BOARD SW BLACK XL</t>
  </si>
  <si>
    <t>S45357ME</t>
  </si>
  <si>
    <t>XLRGMEDREG</t>
  </si>
  <si>
    <t>WEATHERPROOF 32 DEGREES</t>
  </si>
  <si>
    <t>607048530157</t>
  </si>
  <si>
    <t>OATMEAL/CAMO ENCINO TANK</t>
  </si>
  <si>
    <t>636193645706</t>
  </si>
  <si>
    <t>JOHN ASHFORD BIG AND TALL RIBBED CREW-NECK DEEP BLACK 2XB</t>
  </si>
  <si>
    <t>76309BBB28</t>
  </si>
  <si>
    <t>JOHN ASHFORD-MMG</t>
  </si>
  <si>
    <t>636193647526</t>
  </si>
  <si>
    <t>JOHN ASHFORD BIG AND TALL RIBBED CREW-NECK DEEP RUBY 2XB</t>
  </si>
  <si>
    <t>76309BDR28</t>
  </si>
  <si>
    <t>636193646369</t>
  </si>
  <si>
    <t>JOHN ASHFORD BIG AND TALL RIBBED CREW-NECK DELHI KHAKI 3XLT</t>
  </si>
  <si>
    <t>76309BDK28</t>
  </si>
  <si>
    <t>608381198530</t>
  </si>
  <si>
    <t>CLUB ROOM SLIM FIT TEXTURED MINI PANE SH BRIGHT WHITE M</t>
  </si>
  <si>
    <t>24125FWT45</t>
  </si>
  <si>
    <t>CLUBROOM</t>
  </si>
  <si>
    <t>CR BY CLUBROOM-MMG</t>
  </si>
  <si>
    <t>786096649872</t>
  </si>
  <si>
    <t>SPEEDO BIG AND TALL MARINA VOLLEY SWI NAVY 3XL</t>
  </si>
  <si>
    <t>7840260E</t>
  </si>
  <si>
    <t>SPEEDO/WARNACO SWIMWEAR INC</t>
  </si>
  <si>
    <t>786096649889</t>
  </si>
  <si>
    <t>SPEEDO BIG AND TALL MARINA VOLLEY SWI NAVY 4XL</t>
  </si>
  <si>
    <t>786096649841</t>
  </si>
  <si>
    <t>SPEEDO BIG AND TALL MARINA VOLLEY SWI BLACK 4XL</t>
  </si>
  <si>
    <t>786096649834</t>
  </si>
  <si>
    <t>SPEEDO BIG AND TALL MARINA VOLLEY SWI BLACK 3XL</t>
  </si>
  <si>
    <t>846310013206</t>
  </si>
  <si>
    <t>GREY USA VNECK</t>
  </si>
  <si>
    <t>KXT706B</t>
  </si>
  <si>
    <t>KINETIX/ENDLESS MOVEMENT INC</t>
  </si>
  <si>
    <t>14056492979</t>
  </si>
  <si>
    <t>IZOD LIGHTWEIGHT SOLID SHORTS STRAW 36</t>
  </si>
  <si>
    <t>45HH011</t>
  </si>
  <si>
    <t>YELLOW</t>
  </si>
  <si>
    <t>MENS SHORTS</t>
  </si>
  <si>
    <t>846310013176</t>
  </si>
  <si>
    <t>YELLOW BRASIL CREW</t>
  </si>
  <si>
    <t>KXT699</t>
  </si>
  <si>
    <t>887219289408</t>
  </si>
  <si>
    <t>GERRY HEATHERED COLORBLOCKED E-BOARD BLACK CREW L</t>
  </si>
  <si>
    <t>FG8807</t>
  </si>
  <si>
    <t>GERRY/STUDIO RAY LLC</t>
  </si>
  <si>
    <t>608356302368</t>
  </si>
  <si>
    <t>CLUB ROOM SWEATER, V-NECK ROADMAP STRIPE MEDIUM GREY HEATHER L</t>
  </si>
  <si>
    <t>22398GT445</t>
  </si>
  <si>
    <t>766380837079</t>
  </si>
  <si>
    <t>ALFANI SLIM-FIT V-NECK SWEATER HYPER BLUE XL</t>
  </si>
  <si>
    <t>15322HB436</t>
  </si>
  <si>
    <t>53474451427</t>
  </si>
  <si>
    <t>NIKE RACER SPLICE 4 VOLLEY SWIM TR ANTHRACITE XL</t>
  </si>
  <si>
    <t>NESS4368MM</t>
  </si>
  <si>
    <t>53474451229</t>
  </si>
  <si>
    <t>NIKE FLARE STRIPED SPLICE 4 VOLLEY BLACK XL</t>
  </si>
  <si>
    <t>NESS4366MM</t>
  </si>
  <si>
    <t>DARK GREEN</t>
  </si>
  <si>
    <t>53474451236</t>
  </si>
  <si>
    <t>NIKE FLARE STRIPED SPLICE 4 VOLLEY BLACK XXL</t>
  </si>
  <si>
    <t>886521286891</t>
  </si>
  <si>
    <t>GEOFFREY BEENE SHORTS, EXTENDER WAIST CARGO S BRITISH KHAKI 40</t>
  </si>
  <si>
    <t>6GB63012S</t>
  </si>
  <si>
    <t>GEOFFREY BEENE/LF MENS GROUP LLC</t>
  </si>
  <si>
    <t>740700459066</t>
  </si>
  <si>
    <t>PGA TOUR MIXED-MEDIA QUARTER-ZIP FLEECE CAVIAR BLACK XL</t>
  </si>
  <si>
    <t>PVKF4097PR</t>
  </si>
  <si>
    <t>786096308342</t>
  </si>
  <si>
    <t>SPEEDO SWIMWEAR, SURF RUNNER SWIM TRU RED BLUFF M</t>
  </si>
  <si>
    <t>MEDIUN RED</t>
  </si>
  <si>
    <t>796129943693</t>
  </si>
  <si>
    <t>FIELD STREAM CAMO PRINT CARGO SHORTS GREEN CAMO 33</t>
  </si>
  <si>
    <t>MAFSH5034</t>
  </si>
  <si>
    <t>FIELD &amp; STREAM/BERNETTE TEXTILE CO</t>
  </si>
  <si>
    <t>846310013367</t>
  </si>
  <si>
    <t>GREEN BRASIL TANK</t>
  </si>
  <si>
    <t>KXTK699</t>
  </si>
  <si>
    <t>846310013350</t>
  </si>
  <si>
    <t>636189435328</t>
  </si>
  <si>
    <t>JOHN ASHFORD SHIRT, OTTOMAN ZIP POLO REFINED INDIGO XL</t>
  </si>
  <si>
    <t>19208RI440</t>
  </si>
  <si>
    <t>CLASS KNITS</t>
  </si>
  <si>
    <t>97987139281</t>
  </si>
  <si>
    <t>WEATHERPROOF SWIMWEAR, NYLON SWIM SHORTS ARMY GREEN 40</t>
  </si>
  <si>
    <t>TMS37501ME</t>
  </si>
  <si>
    <t>97987139106</t>
  </si>
  <si>
    <t>WEATHERPROOF SWIMWEAR, NYLON SWIM SHORTS SILVER 40</t>
  </si>
  <si>
    <t>97987138987</t>
  </si>
  <si>
    <t>WEATHERPROOF SWIMWEAR, NYLON SWIM SHORTS LIGHT ORANGE 40</t>
  </si>
  <si>
    <t>MED ORANGE</t>
  </si>
  <si>
    <t>13282527349</t>
  </si>
  <si>
    <t>VAN HEUSEN ESSENTIAL LONG-SLEEVE SOLID GR BLACK L</t>
  </si>
  <si>
    <t>VAN HEUSEN</t>
  </si>
  <si>
    <t>749372937056</t>
  </si>
  <si>
    <t>NAUTICA SHORT SLEEVE SOLID T-SHIRT ISLAND YELLOW L</t>
  </si>
  <si>
    <t>V41000</t>
  </si>
  <si>
    <t>BRGHT YELL</t>
  </si>
  <si>
    <t>NAUTICA-MENS</t>
  </si>
  <si>
    <t>NAUTICA INT'L-V F CORPORATION</t>
  </si>
  <si>
    <t>749372936875</t>
  </si>
  <si>
    <t>NAUTICA SHORT SLEEVE SOLID T-SHIRT BRIGHTON BLUE L</t>
  </si>
  <si>
    <t>636193697910</t>
  </si>
  <si>
    <t>CLUB ROOM STRIPED PERFORMANCE POLO OPEN RED S</t>
  </si>
  <si>
    <t>26225CW445</t>
  </si>
  <si>
    <t>RED</t>
  </si>
  <si>
    <t>608381247078</t>
  </si>
  <si>
    <t>CLUB ROOM NORWOOD STRIPED PERFORMANCE PO BRIGHT WHITE XL</t>
  </si>
  <si>
    <t>24200WT445</t>
  </si>
  <si>
    <t>887364080479</t>
  </si>
  <si>
    <t>NEWPORT HYBRID PLAID SWIM SHORTS NAVY 36</t>
  </si>
  <si>
    <t>44P0139</t>
  </si>
  <si>
    <t>NEWPORT BLUE/NPB COMPANY INC</t>
  </si>
  <si>
    <t>887364080424</t>
  </si>
  <si>
    <t>NEWPORT HYBRID PLAID SWIM SHORTS WHITEBLUE 36</t>
  </si>
  <si>
    <t>607048553262</t>
  </si>
  <si>
    <t>STORM/ROSE DOUBLE RINGER TANK</t>
  </si>
  <si>
    <t>607048359024</t>
  </si>
  <si>
    <t>ECO DOUBLE RINGER TANK</t>
  </si>
  <si>
    <t>607048553323</t>
  </si>
  <si>
    <t>848257036232</t>
  </si>
  <si>
    <t>JOHN ASHFORD SHIRT, INTERLOCK POLO SHIRT DEEP BLACK S</t>
  </si>
  <si>
    <t>76223BB440</t>
  </si>
  <si>
    <t>848257036270</t>
  </si>
  <si>
    <t>JOHN ASHFORD SHIRT, INTERLOCK POLO SHIRT DEEP BLACK XXL</t>
  </si>
  <si>
    <t>848257036355</t>
  </si>
  <si>
    <t>JOHN ASHFORD SHIRT, INTERLOCK POLO SHIRT NAVY BLUE L</t>
  </si>
  <si>
    <t>76223NB440</t>
  </si>
  <si>
    <t>766380460468</t>
  </si>
  <si>
    <t>INC INTERNATIONAL CONCEPTS T-SHIRT, HIGH WATERS STRIPE HE DYNAMIC BLUE XL</t>
  </si>
  <si>
    <t>33806DY540</t>
  </si>
  <si>
    <t>607048552968</t>
  </si>
  <si>
    <t>ECO GREY/BLACK DIMAS TANK</t>
  </si>
  <si>
    <t>12339EA</t>
  </si>
  <si>
    <t>607048553002</t>
  </si>
  <si>
    <t>887364063649</t>
  </si>
  <si>
    <t>NEWPORT REGATTA STRIPED SWIM TRUNKS REDBLUE S</t>
  </si>
  <si>
    <t>34P0423</t>
  </si>
  <si>
    <t>766380086651</t>
  </si>
  <si>
    <t>ALFANI T-SHIRTS, SLIM-FIT FASHION HEA DUSTY AQUA COMBO XXL</t>
  </si>
  <si>
    <t>17241DA436</t>
  </si>
  <si>
    <t>TURQ/AQUA</t>
  </si>
  <si>
    <t>14056582533</t>
  </si>
  <si>
    <t>IZOD STRIPED JERSEY T-SHIRT MINT GREEN S</t>
  </si>
  <si>
    <t>45MK087</t>
  </si>
  <si>
    <t>636189934289</t>
  </si>
  <si>
    <t>INC INTERNATIONAL CONCEPTS TATTOO DUDE PIECED T-SHIRT WHITE PURE XL</t>
  </si>
  <si>
    <t>46825WH540</t>
  </si>
  <si>
    <t>636189934302</t>
  </si>
  <si>
    <t>INC INTERNATIONAL CONCEPTS TATTOO DUDE PIECED T-SHIRT WHITE PURE XXL</t>
  </si>
  <si>
    <t>636189877852</t>
  </si>
  <si>
    <t>JOHN ASHFORD BIG AND TALL LONG-SLEEVE PLAID RUBY RED NICOLOSI PLAID LT</t>
  </si>
  <si>
    <t>76104BRR28</t>
  </si>
  <si>
    <t>MEDIUM RED</t>
  </si>
  <si>
    <t>636189879283</t>
  </si>
  <si>
    <t>JOHN ASHFORD BIG AND TALL LONG-SLEEVE PLAID NINE IRON VENETICO PLAID 3XLT</t>
  </si>
  <si>
    <t>76108BNI28</t>
  </si>
  <si>
    <t>636189002711</t>
  </si>
  <si>
    <t>JOHN ASHFORD NICHOLLS BENGAL SEERSUCKER-STR DANDELION XXL</t>
  </si>
  <si>
    <t>75120DA440</t>
  </si>
  <si>
    <t>CLASS WOVENS</t>
  </si>
  <si>
    <t>608356905378</t>
  </si>
  <si>
    <t>CLUB ROOM SHORT SLEEVE SOLID PERFORMANCE NAVY BLUE M</t>
  </si>
  <si>
    <t>24235NB445</t>
  </si>
  <si>
    <t>733002284320</t>
  </si>
  <si>
    <t>ALFANI BIG AND TALL T-SHIRT, STRETCH SEA COAST XLT</t>
  </si>
  <si>
    <t>16259SC499</t>
  </si>
  <si>
    <t>608381157056</t>
  </si>
  <si>
    <t>CLUB ROOM DOUBLE LAYER HENLEY SHIRT BRIGHT WHITE XXL</t>
  </si>
  <si>
    <t>24228WT445</t>
  </si>
  <si>
    <t>766380686097</t>
  </si>
  <si>
    <t>ALFANI BIG AND TALL T-SHIRT, STRETCH FLINT HEATHER 2XB</t>
  </si>
  <si>
    <t>B8235FH499</t>
  </si>
  <si>
    <t>636189034958</t>
  </si>
  <si>
    <t>JOHN ASHFORD SEASIDE TIPPED PIQUE POLO BRIGHT WHITE XL</t>
  </si>
  <si>
    <t>74211WT440</t>
  </si>
  <si>
    <t>848257034870</t>
  </si>
  <si>
    <t>JOHN ASHFORD SOLID JERSEY POCKET POLO DELHI KHAKI M</t>
  </si>
  <si>
    <t>74206DK440</t>
  </si>
  <si>
    <t>608381101103</t>
  </si>
  <si>
    <t>JOHN ASHFORD SHIRT, SHORT SLEEVE CREW NECK LIGHT GREY HEATHER 4XLT</t>
  </si>
  <si>
    <t>70001BGH28</t>
  </si>
  <si>
    <t>636193843690</t>
  </si>
  <si>
    <t>JOHN ASHFORD SHIRT, SHORT SLEEVE CREW NECK LAZULITE 4XLT</t>
  </si>
  <si>
    <t>70001BLZ28</t>
  </si>
  <si>
    <t>11919960620</t>
  </si>
  <si>
    <t>CHAMPION SHORTS, DAZZLE BASKETBALL SHOR ASTROTURFBLACK XL</t>
  </si>
  <si>
    <t>85431407Q88</t>
  </si>
  <si>
    <t>CHAMPION</t>
  </si>
  <si>
    <t>CHAMPION/HANESBRANDS INC</t>
  </si>
  <si>
    <t>636189286418</t>
  </si>
  <si>
    <t>INC INTERNATIONAL CONCEPTS RIPPED SLIM T-SHIRT DEEP BLACK L</t>
  </si>
  <si>
    <t>32886BL540</t>
  </si>
  <si>
    <t>636189286401</t>
  </si>
  <si>
    <t>INC INTERNATIONAL CONCEPTS RIPPED SLIM T-SHIRT DEEP BLACK M</t>
  </si>
  <si>
    <t>636189648513</t>
  </si>
  <si>
    <t>INC INTERNATIONAL CONCEPTS MONTE SPLIT-NECK T-SHIRT BRIGHT RHUBARB L</t>
  </si>
  <si>
    <t>42821BR540</t>
  </si>
  <si>
    <t>636189287194</t>
  </si>
  <si>
    <t>INC INTERNATIONAL CONCEPTS RUNG OUT T-SHIRT GREY SKIES XXL</t>
  </si>
  <si>
    <t>46803GR540</t>
  </si>
  <si>
    <t>636189648537</t>
  </si>
  <si>
    <t>INC INTERNATIONAL CONCEPTS MONTE SPLIT-NECK T-SHIRT BRIGHT RHUBARB XXL</t>
  </si>
  <si>
    <t>766370501850</t>
  </si>
  <si>
    <t>CLUB ROOM T-SHIRTS, SOLID SHORT-SLEEVED DEEP BLACK S</t>
  </si>
  <si>
    <t>27240BK445</t>
  </si>
  <si>
    <t>CLUBROOM-EDI/RWI/MASOOD</t>
  </si>
  <si>
    <t>11919868155</t>
  </si>
  <si>
    <t>CHAMPION SHORTS, DAZZLE BASKETBALL SHOR BLACK XL</t>
  </si>
  <si>
    <t>608381719537</t>
  </si>
  <si>
    <t>JOHN ASHFORD SOLID POCKET T-SHIRT BRIGHT WHITE S</t>
  </si>
  <si>
    <t>70003WT440</t>
  </si>
  <si>
    <t>608381719544</t>
  </si>
  <si>
    <t>JOHN ASHFORD SOLID POCKET T-SHIRT BRIGHT WHITE M</t>
  </si>
  <si>
    <t>608381719483</t>
  </si>
  <si>
    <t>JOHN ASHFORD SOLID POCKET T-SHIRT DEEP BLACK M</t>
  </si>
  <si>
    <t>70003BK440</t>
  </si>
  <si>
    <t>636189043066</t>
  </si>
  <si>
    <t>JOHN ASHFORD T-SHIRT, SHORT-SLEEVE CREW NEC SABLE L</t>
  </si>
  <si>
    <t>70001SA440</t>
  </si>
  <si>
    <t>DARK BROWN</t>
  </si>
  <si>
    <t>78715313326</t>
  </si>
  <si>
    <t>CHAMPION HERITAGE GRAPHIC T-SHIRT NAVY L</t>
  </si>
  <si>
    <t>GT81Y04743</t>
  </si>
  <si>
    <t>78715313517</t>
  </si>
  <si>
    <t>CHAMPION BASIC T-SHIRT DEEP ROYAL M</t>
  </si>
  <si>
    <t>GT81Y04747</t>
  </si>
  <si>
    <t>78715313500</t>
  </si>
  <si>
    <t>CHAMPION BASIC T-SHIRT DEEP ROYAL S</t>
  </si>
  <si>
    <t>78715313456</t>
  </si>
  <si>
    <t>CHAMPION SHIRT, HOME TEAM LOGO T-SHIRT BLACK S</t>
  </si>
  <si>
    <t>GT81Y04746</t>
  </si>
  <si>
    <t>5415153439815</t>
  </si>
  <si>
    <t>TONAL 3D DK BLUE TACK</t>
  </si>
  <si>
    <t>LEVI'S VINTAGE CLOTHING/LVC LLC</t>
  </si>
  <si>
    <t>888380035627</t>
  </si>
  <si>
    <t>KENJI IN THE CLASSIC FIT (DAR</t>
  </si>
  <si>
    <t>KR1KNJ8229</t>
  </si>
  <si>
    <t>887920230607</t>
  </si>
  <si>
    <t>C:SULFUR WILLOW BEIGE MATCHBO</t>
  </si>
  <si>
    <t>1131BES</t>
  </si>
  <si>
    <t>886619960320</t>
  </si>
  <si>
    <t>B29 COTTON/ CASHMERE V-N</t>
  </si>
  <si>
    <t>AH6181</t>
  </si>
  <si>
    <t>886992408136</t>
  </si>
  <si>
    <t>SAGE CHINO SHORT</t>
  </si>
  <si>
    <t>AT5025232A</t>
  </si>
  <si>
    <t>34 R/M37.5</t>
  </si>
  <si>
    <t>23766603643</t>
  </si>
  <si>
    <t>BAJA PLAID L/S</t>
  </si>
  <si>
    <t>T34845</t>
  </si>
  <si>
    <t>ORANGE</t>
  </si>
  <si>
    <t>TOMMY BAHAMA</t>
  </si>
  <si>
    <t>TOMMY BAHAMA GROUP INC</t>
  </si>
  <si>
    <t>883058246503</t>
  </si>
  <si>
    <t>LACOSTE JEANS, CASUAL STRAIGHT FIT BRUSH BLUE USED 33</t>
  </si>
  <si>
    <t>HH290R</t>
  </si>
  <si>
    <t>23766612263</t>
  </si>
  <si>
    <t>TOMMY BAHAMA SHIRT, SAL DE MAR SHORT SLEEVE FILTER GREY M</t>
  </si>
  <si>
    <t>T34910</t>
  </si>
  <si>
    <t>887075007796</t>
  </si>
  <si>
    <t>POLO RALPH LAUREN SWEATER, SILK V-NECK SWEATER DERBY BLUE M</t>
  </si>
  <si>
    <t>0114604LVN</t>
  </si>
  <si>
    <t>92449350846</t>
  </si>
  <si>
    <t>RALPH LAUREN POLO RALPH LAUREN MESH POLO SH DECKWASH WHITE M</t>
  </si>
  <si>
    <t>887075083134</t>
  </si>
  <si>
    <t>POLO RALPH LAUREN PANTS, FLAT-FRONT PRESTON PANT MOHICAN BROWN 36X34</t>
  </si>
  <si>
    <t>4812400PRES</t>
  </si>
  <si>
    <t>670113512440</t>
  </si>
  <si>
    <t>NAUTICA HOODIE, FULL ZIP REVERSIBLE HO RUSTEDHULL XL</t>
  </si>
  <si>
    <t>3K2104</t>
  </si>
  <si>
    <t>765460142805</t>
  </si>
  <si>
    <t>BAY FLORAL PRINT SLIM FI</t>
  </si>
  <si>
    <t>MENS HILFIGER</t>
  </si>
  <si>
    <t>765460142836</t>
  </si>
  <si>
    <t>887075066045</t>
  </si>
  <si>
    <t>POLO RALPH LAUREN SHIRT, CLASSIC-FIT INTERLOCK P GUILD PURPLE S</t>
  </si>
  <si>
    <t>765460142898</t>
  </si>
  <si>
    <t>23766647852</t>
  </si>
  <si>
    <t>ISLAND PREP</t>
  </si>
  <si>
    <t>TR8875</t>
  </si>
  <si>
    <t>636193614559</t>
  </si>
  <si>
    <t>SLIM EDV TRUMAN BLAZ</t>
  </si>
  <si>
    <t>42701NA540</t>
  </si>
  <si>
    <t>769534740843</t>
  </si>
  <si>
    <t>EDI CARDIGAN</t>
  </si>
  <si>
    <t>40FS357</t>
  </si>
  <si>
    <t>883820511501</t>
  </si>
  <si>
    <t>HUNT PEBBLED BILLFOLD W/ WIN</t>
  </si>
  <si>
    <t>4051663615RS</t>
  </si>
  <si>
    <t>OSFA REG</t>
  </si>
  <si>
    <t>94832227582</t>
  </si>
  <si>
    <t>REG SLD HBONE PNT</t>
  </si>
  <si>
    <t>44SB7346PS</t>
  </si>
  <si>
    <t>769534952765</t>
  </si>
  <si>
    <t>YD FINESTRIPE PLAINWEAVE</t>
  </si>
  <si>
    <t>40JW124</t>
  </si>
  <si>
    <t>769534934761</t>
  </si>
  <si>
    <t>L/S 1/4 ZIP 2X2 RIB LIQUID FI</t>
  </si>
  <si>
    <t>40JK242</t>
  </si>
  <si>
    <t>797762011183</t>
  </si>
  <si>
    <t>YD FINE PIN STRIPE SLUB POP</t>
  </si>
  <si>
    <t>40KW166</t>
  </si>
  <si>
    <t>94832203036</t>
  </si>
  <si>
    <t>MICRO STRP PNT</t>
  </si>
  <si>
    <t>44SB7331PS</t>
  </si>
  <si>
    <t>765460413516</t>
  </si>
  <si>
    <t>TOMMY HILFIGER CREW ROLL EDGE RAGLAN SWEATER ROSE HEATHER L</t>
  </si>
  <si>
    <t>847855062285</t>
  </si>
  <si>
    <t>BLACK LEAVES CARTER L/S WOVEN</t>
  </si>
  <si>
    <t>SCW380LS</t>
  </si>
  <si>
    <t>SOVEREIGN CODE/SUBSTANCE OVER-CONS</t>
  </si>
  <si>
    <t>847855062124</t>
  </si>
  <si>
    <t>ACID WASH STAKEHOUSE L/S WOVE</t>
  </si>
  <si>
    <t>SCW436LS</t>
  </si>
  <si>
    <t>94832225755</t>
  </si>
  <si>
    <t>CHINO SHORT</t>
  </si>
  <si>
    <t>44MH7809PS</t>
  </si>
  <si>
    <t>887004413490</t>
  </si>
  <si>
    <t>NEON STRIPE GROSGRAI</t>
  </si>
  <si>
    <t>1A0543</t>
  </si>
  <si>
    <t>887004413506</t>
  </si>
  <si>
    <t>887004413452</t>
  </si>
  <si>
    <t>887004413513</t>
  </si>
  <si>
    <t>887004413445</t>
  </si>
  <si>
    <t>636189497487</t>
  </si>
  <si>
    <t>L/S JESTER SLIM</t>
  </si>
  <si>
    <t>43500GR540</t>
  </si>
  <si>
    <t>608381453660</t>
  </si>
  <si>
    <t>LINEN 5 POCKET PANT</t>
  </si>
  <si>
    <t>42610WH540</t>
  </si>
  <si>
    <t>733002426768</t>
  </si>
  <si>
    <t>INC INTERNATIONAL CONCEPTS SWEATER, MERINO V NECK FROSTED BLUE L</t>
  </si>
  <si>
    <t>09411FG540</t>
  </si>
  <si>
    <t>766370646414</t>
  </si>
  <si>
    <t>GREG NORMAN PANTS, TECH PLAID GOLF PANTS CITY TAUPE 38X32</t>
  </si>
  <si>
    <t>40528CTYTP</t>
  </si>
  <si>
    <t>887436309033</t>
  </si>
  <si>
    <t>SS SLD JRSY CMFIT TOMATO</t>
  </si>
  <si>
    <t>798698325528</t>
  </si>
  <si>
    <t>LT BLUE NY RANGERS TEE</t>
  </si>
  <si>
    <t>SM869RNYR</t>
  </si>
  <si>
    <t>798698325511</t>
  </si>
  <si>
    <t>798698325535</t>
  </si>
  <si>
    <t>766380147949</t>
  </si>
  <si>
    <t>GREG NORMAN GOLF SHORTS, FAIRWAY FLAT FRON BRIGHT CLEMENTINE 40</t>
  </si>
  <si>
    <t>41503BCLEM</t>
  </si>
  <si>
    <t>766380297941</t>
  </si>
  <si>
    <t>GREG NORMAN GOLF SHORTS, SLIM FIT PLAID TE BRIGHT CLEMENTINE 40</t>
  </si>
  <si>
    <t>41521BCLEM</t>
  </si>
  <si>
    <t>GREG NORMAN FOR TASSO ELBA/SHARK</t>
  </si>
  <si>
    <t>636202970249</t>
  </si>
  <si>
    <t>SLIM EDV DALE PANT</t>
  </si>
  <si>
    <t>3N607BP540</t>
  </si>
  <si>
    <t>766370564565</t>
  </si>
  <si>
    <t>GREG NORMAN SHORTS, SHARK SLIM-FIT TECH GO STORM GREY 42</t>
  </si>
  <si>
    <t>40510STMGY</t>
  </si>
  <si>
    <t>840088106139</t>
  </si>
  <si>
    <t>SEAGLASS SEA TOYS TEE</t>
  </si>
  <si>
    <t>ATM104-ALT3306-SEAG</t>
  </si>
  <si>
    <t>ALTRU APPAREL</t>
  </si>
  <si>
    <t>886152924186</t>
  </si>
  <si>
    <t>BLK QR SIXTH EDITION CHINO</t>
  </si>
  <si>
    <t>M13508100</t>
  </si>
  <si>
    <t>34 REG</t>
  </si>
  <si>
    <t>MOTO/EXTREME</t>
  </si>
  <si>
    <t>METAL MULISHA/MM COMPOUND LLC</t>
  </si>
  <si>
    <t>19783000787</t>
  </si>
  <si>
    <t>MICROPOLY PLT TAUPE</t>
  </si>
  <si>
    <t>32X29</t>
  </si>
  <si>
    <t>719240846414</t>
  </si>
  <si>
    <t>IZOD GOLF SHORTS, FLAT FRONT PEFORM STONEDUST 36</t>
  </si>
  <si>
    <t>BEIGE</t>
  </si>
  <si>
    <t>671734576651</t>
  </si>
  <si>
    <t>WHITE STONES US TONGUE TEE</t>
  </si>
  <si>
    <t>BRAVADO INTERNATIONAL GROUP INC</t>
  </si>
  <si>
    <t>671734576644</t>
  </si>
  <si>
    <t>608381664707</t>
  </si>
  <si>
    <t>HORIZONTAL TXT POLO KETTLE XL</t>
  </si>
  <si>
    <t>16231KT436</t>
  </si>
  <si>
    <t>846310013657</t>
  </si>
  <si>
    <t>RED ENGLAND CREW</t>
  </si>
  <si>
    <t>KXT699B</t>
  </si>
  <si>
    <t>758385759692</t>
  </si>
  <si>
    <t>PEAR CORE FLAT FRONT SHOR</t>
  </si>
  <si>
    <t>JESB0091DS</t>
  </si>
  <si>
    <t>846310013626</t>
  </si>
  <si>
    <t>WHITE USA TANK</t>
  </si>
  <si>
    <t>KXTK706B</t>
  </si>
  <si>
    <t>766360833305</t>
  </si>
  <si>
    <t>VIA EUROPA SWEATER, CASHTOUCH GRID SWEATE PUMPERNICKLE M</t>
  </si>
  <si>
    <t>19310PN435</t>
  </si>
  <si>
    <t>HONEY</t>
  </si>
  <si>
    <t>VIA EUROPA-MMG</t>
  </si>
  <si>
    <t>608381409391</t>
  </si>
  <si>
    <t>LS PRINCE STRIPE</t>
  </si>
  <si>
    <t>13705PP435</t>
  </si>
  <si>
    <t>MED PURPLE</t>
  </si>
  <si>
    <t>766360262907</t>
  </si>
  <si>
    <t>CLUB ROOM SHIRT, THERMAL STRIPE HENLEY S DEEP BLACK XL</t>
  </si>
  <si>
    <t>68205BK445</t>
  </si>
  <si>
    <t>636189672181</t>
  </si>
  <si>
    <t>TYE DYE STRIPE V</t>
  </si>
  <si>
    <t>42815DU540</t>
  </si>
  <si>
    <t>886482028554</t>
  </si>
  <si>
    <t>WHT NEWISH S/S TEE</t>
  </si>
  <si>
    <t>M245S18208</t>
  </si>
  <si>
    <t>886482027045</t>
  </si>
  <si>
    <t>CHH LEVEL S/S TEE</t>
  </si>
  <si>
    <t>M245S18213</t>
  </si>
  <si>
    <t>886482109857</t>
  </si>
  <si>
    <t>BLK COVERT S/S TEE</t>
  </si>
  <si>
    <t>M245S18238</t>
  </si>
  <si>
    <t>886482028561</t>
  </si>
  <si>
    <t>758385421124</t>
  </si>
  <si>
    <t>CHAMPIONS TOUR GOLF SHIRT, TEXTURED OTTOMAN P PEACOAT S</t>
  </si>
  <si>
    <t>JESK0001DS</t>
  </si>
  <si>
    <t>758385421346</t>
  </si>
  <si>
    <t>CHAMPIONS TOUR GOLF SHIRT, TEXTURED OTTOMAN P OLYMPIAN BLUE L</t>
  </si>
  <si>
    <t>733003999261</t>
  </si>
  <si>
    <t>CLUB ROOM T-SHIRT, SOLID CREW-NECK TEE TSUNAMI M</t>
  </si>
  <si>
    <t>28205TA445</t>
  </si>
  <si>
    <t>608381719414</t>
  </si>
  <si>
    <t>SS CREW NECK TEE PKT</t>
  </si>
  <si>
    <t>70003GH440</t>
  </si>
  <si>
    <t>608381719421</t>
  </si>
  <si>
    <t/>
  </si>
</sst>
</file>

<file path=xl/styles.xml><?xml version="1.0" encoding="utf-8"?>
<styleSheet xmlns="http://schemas.openxmlformats.org/spreadsheetml/2006/main">
  <numFmts count="1">
    <numFmt numFmtId="8" formatCode="&quot;$&quot;#,##0.00_);[Red]\(&quot;$&quot;#,##0.00\)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u/>
      <sz val="9"/>
      <color rgb="FF0000FF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0" fillId="0" borderId="0" xfId="0" applyBorder="1"/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wrapText="1"/>
    </xf>
    <xf numFmtId="1" fontId="19" fillId="0" borderId="0" xfId="0" applyNumberFormat="1" applyFont="1" applyAlignment="1">
      <alignment wrapText="1"/>
    </xf>
    <xf numFmtId="1" fontId="19" fillId="0" borderId="0" xfId="0" applyNumberFormat="1" applyFont="1" applyAlignment="1">
      <alignment horizontal="center" wrapText="1"/>
    </xf>
    <xf numFmtId="8" fontId="19" fillId="0" borderId="0" xfId="0" applyNumberFormat="1" applyFont="1" applyAlignment="1">
      <alignment wrapText="1"/>
    </xf>
    <xf numFmtId="8" fontId="19" fillId="0" borderId="0" xfId="0" applyNumberFormat="1" applyFont="1" applyAlignment="1">
      <alignment horizontal="center" wrapText="1"/>
    </xf>
    <xf numFmtId="2" fontId="19" fillId="0" borderId="0" xfId="0" applyNumberFormat="1" applyFont="1" applyAlignment="1">
      <alignment horizontal="center" wrapText="1"/>
    </xf>
    <xf numFmtId="49" fontId="19" fillId="0" borderId="0" xfId="0" applyNumberFormat="1" applyFont="1" applyAlignment="1">
      <alignment wrapText="1"/>
    </xf>
    <xf numFmtId="8" fontId="19" fillId="0" borderId="0" xfId="0" applyNumberFormat="1" applyFont="1" applyAlignment="1">
      <alignment horizontal="right" wrapText="1"/>
    </xf>
    <xf numFmtId="49" fontId="19" fillId="0" borderId="0" xfId="0" applyNumberFormat="1" applyFont="1" applyAlignment="1">
      <alignment horizontal="center" wrapText="1"/>
    </xf>
    <xf numFmtId="0" fontId="20" fillId="0" borderId="0" xfId="0" applyFont="1" applyAlignment="1">
      <alignment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wrapText="1"/>
    </xf>
    <xf numFmtId="8" fontId="22" fillId="0" borderId="0" xfId="0" applyNumberFormat="1" applyFont="1" applyAlignment="1">
      <alignment horizontal="center" wrapText="1"/>
    </xf>
    <xf numFmtId="1" fontId="22" fillId="0" borderId="0" xfId="0" applyNumberFormat="1" applyFont="1" applyAlignment="1">
      <alignment wrapText="1"/>
    </xf>
    <xf numFmtId="8" fontId="22" fillId="0" borderId="0" xfId="0" applyNumberFormat="1" applyFont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theme" Target="theme/theme1.xml"/>
  <Relationship Id="rId3" Type="http://schemas.openxmlformats.org/officeDocument/2006/relationships/styles" Target="styles.xml"/>
  <Relationship Id="rId4" Type="http://schemas.openxmlformats.org/officeDocument/2006/relationships/sharedStrings" Target="sharedStrings.xml"/>
  <Relationship Id="rId5" Type="http://schemas.openxmlformats.org/officeDocument/2006/relationships/calcChain" Target="calcChain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sheet1.xml><?xml version="1.0" encoding="utf-8"?>
<worksheet xmlns="http://schemas.openxmlformats.org/spreadsheetml/2006/main" xmlns:r="http://schemas.openxmlformats.org/officeDocument/2006/relationships">
  <dimension ref="A1:P321"/>
  <sheetViews>
    <sheetView tabSelected="1" workbookViewId="0">
      <selection activeCell="K10" sqref="K10:L321"/>
    </sheetView>
  </sheetViews>
  <sheetFormatPr defaultRowHeight="15"/>
  <cols>
    <col min="1" max="1" customWidth="true" width="14.28515625" collapsed="false"/>
    <col min="2" max="2" customWidth="true" width="49.7109375" collapsed="false"/>
    <col min="3" max="3" customWidth="true" width="15.0" collapsed="false"/>
    <col min="4" max="5" customWidth="true" width="10.85546875" collapsed="false"/>
    <col min="6" max="6" customWidth="true" width="9.7109375" collapsed="false"/>
    <col min="7" max="7" customWidth="true" width="10.28515625" collapsed="false"/>
    <col min="8" max="8" customWidth="true" width="16.5703125" collapsed="false"/>
    <col min="9" max="10" customWidth="true" width="11.42578125" collapsed="false"/>
    <col min="11" max="11" customWidth="true" width="10.85546875" collapsed="false"/>
    <col min="12" max="12" customWidth="true" width="8.5703125" collapsed="false"/>
    <col min="13" max="13" customWidth="true" width="6.42578125" collapsed="false"/>
    <col min="14" max="14" customWidth="true" width="12.140625" collapsed="false"/>
    <col min="15" max="15" bestFit="true" customWidth="true" width="36.5703125" collapsed="false"/>
    <col min="16" max="16" customWidth="true" width="64.28515625" collapsed="false"/>
  </cols>
  <sheetData>
    <row r="1" spans="1:16" s="1" customFormat="1"/>
    <row r="2" spans="1:16" ht="48">
      <c r="A2" s="2" t="s">
        <v>1</v>
      </c>
      <c r="B2" s="2" t="s">
        <v>3</v>
      </c>
      <c r="C2" s="2" t="s">
        <v>4</v>
      </c>
      <c r="D2" s="2" t="s">
        <v>8</v>
      </c>
      <c r="E2" s="13" t="s">
        <v>9</v>
      </c>
      <c r="F2" s="13" t="s">
        <v>10</v>
      </c>
      <c r="G2" s="13" t="s">
        <v>11</v>
      </c>
    </row>
    <row r="3" spans="1:16" ht="48.75">
      <c r="A3" s="4" t="n">
        <v>7949526.0</v>
      </c>
      <c r="B3" s="14" t="s">
        <v>13</v>
      </c>
      <c r="C3" s="16" t="s">
        <v>14</v>
      </c>
      <c r="D3" s="6" t="n">
        <v>22991.72</v>
      </c>
      <c r="E3" s="14" t="n">
        <v>374.0</v>
      </c>
      <c r="F3" s="15" t="n">
        <v>4299.7155</v>
      </c>
      <c r="G3" s="15" t="n">
        <v>11.501</v>
      </c>
    </row>
    <row r="4" spans="1:16">
      <c r="A4" s="4" t="s">
        <v>1033</v>
      </c>
      <c r="B4" s="3" t="s">
        <v>1033</v>
      </c>
      <c r="C4" s="4" t="s">
        <v>15</v>
      </c>
      <c r="D4" s="6" t="n">
        <v>22991.72</v>
      </c>
      <c r="E4" s="3" t="n">
        <v>374.0</v>
      </c>
      <c r="F4" s="7" t="n">
        <v>4299.7155</v>
      </c>
      <c r="G4" s="7" t="n">
        <v>11.501</v>
      </c>
    </row>
    <row r="5" spans="1:16" s="1" customFormat="1"/>
    <row r="6" spans="1:16" ht="24"/>
    <row r="7" spans="1:16">
      <c r="A7" t="s" s="2">
        <v>22</v>
      </c>
      <c r="B7" t="s" s="2">
        <v>23</v>
      </c>
      <c r="C7" t="s" s="2">
        <v>24</v>
      </c>
      <c r="D7" t="s" s="2">
        <v>19</v>
      </c>
      <c r="E7" t="s" s="2">
        <v>7</v>
      </c>
      <c r="F7" t="s" s="2">
        <v>25</v>
      </c>
      <c r="G7" t="s" s="2">
        <v>8</v>
      </c>
      <c r="H7" t="s" s="2">
        <v>26</v>
      </c>
      <c r="I7" t="s" s="2">
        <v>27</v>
      </c>
      <c r="J7" t="s" s="2">
        <v>28</v>
      </c>
      <c r="K7" t="s" s="13">
        <v>18</v>
      </c>
      <c r="L7" t="s" s="13">
        <v>10</v>
      </c>
      <c r="M7" t="s" s="2">
        <v>16</v>
      </c>
      <c r="N7" t="s" s="2">
        <v>29</v>
      </c>
      <c r="O7" t="s" s="2">
        <v>30</v>
      </c>
      <c r="P7" t="s" s="2">
        <v>31</v>
      </c>
    </row>
    <row r="8" spans="1:16">
      <c r="A8" t="s" s="9">
        <v>32</v>
      </c>
      <c r="B8" t="s" s="3">
        <v>33</v>
      </c>
      <c r="C8" t="n" s="5">
        <v>1.0</v>
      </c>
      <c r="D8" t="n" s="6">
        <v>221.0</v>
      </c>
      <c r="E8" t="n" s="6">
        <v>221.0</v>
      </c>
      <c r="F8" t="n" s="10">
        <v>598.0</v>
      </c>
      <c r="G8" t="n" s="6">
        <v>598.0</v>
      </c>
      <c r="H8" t="s" s="5">
        <v>34</v>
      </c>
      <c r="I8" t="s" s="3">
        <v>35</v>
      </c>
      <c r="J8" t="s" s="11">
        <v>36</v>
      </c>
      <c r="K8" t="n" s="17">
        <v>95.914</v>
      </c>
      <c r="L8" t="n" s="17">
        <v>95.914</v>
      </c>
      <c r="M8" t="s" s="3">
        <v>21</v>
      </c>
      <c r="N8" t="s" s="3">
        <v>37</v>
      </c>
      <c r="O8" t="s" s="3">
        <v>38</v>
      </c>
      <c r="P8" t="s" s="12">
        <f>HYPERLINK("http://slimages.macys.com/is/image/MCY/2096843 ")</f>
      </c>
    </row>
    <row r="9" spans="1:16" s="1" customFormat="1">
      <c r="A9" t="s" s="9">
        <v>39</v>
      </c>
      <c r="B9" t="s" s="3">
        <v>40</v>
      </c>
      <c r="C9" t="n" s="5">
        <v>2.0</v>
      </c>
      <c r="D9" t="n" s="6">
        <v>206.3</v>
      </c>
      <c r="E9" t="n" s="6">
        <v>412.6</v>
      </c>
      <c r="F9" t="n" s="10">
        <v>495.0</v>
      </c>
      <c r="G9" t="n" s="6">
        <v>990.0</v>
      </c>
      <c r="H9" t="n" s="5">
        <v>5.0249940464E12</v>
      </c>
      <c r="I9" t="s" s="3">
        <v>41</v>
      </c>
      <c r="J9" t="s" s="11">
        <v>42</v>
      </c>
      <c r="K9" t="n" s="17">
        <v>89.53420000000001</v>
      </c>
      <c r="L9" t="n" s="17">
        <v>179.06840000000003</v>
      </c>
      <c r="M9" t="s" s="3">
        <v>21</v>
      </c>
      <c r="N9" t="s" s="3">
        <v>43</v>
      </c>
      <c r="O9" t="s" s="3">
        <v>44</v>
      </c>
      <c r="P9" t="s" s="12">
        <f>HYPERLINK("http://slimages.macys.com/is/image/MCY/1723992 ")</f>
      </c>
    </row>
    <row r="10" spans="1:16" ht="36">
      <c r="A10" s="9" t="s">
        <v>45</v>
      </c>
      <c r="B10" s="3" t="s">
        <v>46</v>
      </c>
      <c r="C10" s="5" t="n">
        <v>1.0</v>
      </c>
      <c r="D10" s="6" t="n">
        <v>206.3</v>
      </c>
      <c r="E10" s="6" t="n">
        <v>206.3</v>
      </c>
      <c r="F10" s="10" t="n">
        <v>495.0</v>
      </c>
      <c r="G10" s="6" t="n">
        <v>495.0</v>
      </c>
      <c r="H10" s="5" t="n">
        <v>5.0249940001E12</v>
      </c>
      <c r="I10" s="3" t="s">
        <v>47</v>
      </c>
      <c r="J10" s="11" t="s">
        <v>48</v>
      </c>
      <c r="K10" s="17" t="n">
        <v>89.53420000000001</v>
      </c>
      <c r="L10" s="17" t="n">
        <v>89.53420000000001</v>
      </c>
      <c r="M10" s="3" t="s">
        <v>21</v>
      </c>
      <c r="N10" s="3" t="s">
        <v>43</v>
      </c>
      <c r="O10" s="3" t="s">
        <v>44</v>
      </c>
      <c r="P10" s="12" t="s">
        <f>HYPERLINK("http://slimages.macys.com/is/image/MCY/1723992 ")</f>
      </c>
    </row>
    <row r="11" spans="1:16" ht="24.75">
      <c r="A11" s="9" t="s">
        <v>49</v>
      </c>
      <c r="B11" s="3" t="s">
        <v>50</v>
      </c>
      <c r="C11" s="5" t="n">
        <v>1.0</v>
      </c>
      <c r="D11" s="6" t="n">
        <v>206.3</v>
      </c>
      <c r="E11" s="6" t="n">
        <v>206.3</v>
      </c>
      <c r="F11" s="10" t="n">
        <v>495.0</v>
      </c>
      <c r="G11" s="6" t="n">
        <v>495.0</v>
      </c>
      <c r="H11" s="5" t="n">
        <v>5.0249940464E12</v>
      </c>
      <c r="I11" s="3" t="s">
        <v>41</v>
      </c>
      <c r="J11" s="11" t="s">
        <v>51</v>
      </c>
      <c r="K11" s="17" t="n">
        <v>89.53420000000001</v>
      </c>
      <c r="L11" s="17" t="n">
        <v>89.53420000000001</v>
      </c>
      <c r="M11" s="3" t="s">
        <v>21</v>
      </c>
      <c r="N11" s="3" t="s">
        <v>43</v>
      </c>
      <c r="O11" s="3" t="s">
        <v>44</v>
      </c>
      <c r="P11" s="12" t="str">
        <f>HYPERLINK("http://slimages.macys.com/is/image/MCY/1723992 ")</f>
      </c>
    </row>
    <row r="12" spans="1:16">
      <c r="A12" s="9" t="s">
        <v>52</v>
      </c>
      <c r="B12" s="3" t="s">
        <v>53</v>
      </c>
      <c r="C12" s="5" t="n">
        <v>1.0</v>
      </c>
      <c r="D12" s="6" t="n">
        <v>206.3</v>
      </c>
      <c r="E12" s="6" t="n">
        <v>206.3</v>
      </c>
      <c r="F12" s="10" t="n">
        <v>495.0</v>
      </c>
      <c r="G12" s="6" t="n">
        <v>495.0</v>
      </c>
      <c r="H12" s="5" t="n">
        <v>5.0249940001E12</v>
      </c>
      <c r="I12" s="3" t="s">
        <v>47</v>
      </c>
      <c r="J12" s="11" t="s">
        <v>54</v>
      </c>
      <c r="K12" s="17" t="n">
        <v>89.53420000000001</v>
      </c>
      <c r="L12" s="17" t="n">
        <v>89.53420000000001</v>
      </c>
      <c r="M12" s="3" t="s">
        <v>21</v>
      </c>
      <c r="N12" s="3" t="s">
        <v>43</v>
      </c>
      <c r="O12" s="3" t="s">
        <v>44</v>
      </c>
      <c r="P12" s="12" t="str">
        <f>HYPERLINK("http://slimages.macys.com/is/image/MCY/1723992 ")</f>
      </c>
    </row>
    <row r="13" spans="1:16">
      <c r="A13" s="9" t="s">
        <v>55</v>
      </c>
      <c r="B13" s="3" t="s">
        <v>56</v>
      </c>
      <c r="C13" s="5" t="n">
        <v>1.0</v>
      </c>
      <c r="D13" s="6" t="n">
        <v>206.3</v>
      </c>
      <c r="E13" s="6" t="n">
        <v>206.3</v>
      </c>
      <c r="F13" s="10" t="n">
        <v>495.0</v>
      </c>
      <c r="G13" s="6" t="n">
        <v>495.0</v>
      </c>
      <c r="H13" s="5" t="n">
        <v>5.0249940001E12</v>
      </c>
      <c r="I13" s="3" t="s">
        <v>47</v>
      </c>
      <c r="J13" s="11" t="s">
        <v>51</v>
      </c>
      <c r="K13" s="17" t="n">
        <v>89.53420000000001</v>
      </c>
      <c r="L13" s="17" t="n">
        <v>89.53420000000001</v>
      </c>
      <c r="M13" s="3" t="s">
        <v>21</v>
      </c>
      <c r="N13" s="3" t="s">
        <v>43</v>
      </c>
      <c r="O13" s="3" t="s">
        <v>44</v>
      </c>
      <c r="P13" s="12" t="str">
        <f>HYPERLINK("http://slimages.macys.com/is/image/MCY/1723992 ")</f>
      </c>
    </row>
    <row r="14" spans="1:16">
      <c r="A14" s="9" t="s">
        <v>57</v>
      </c>
      <c r="B14" s="3" t="s">
        <v>58</v>
      </c>
      <c r="C14" s="5" t="n">
        <v>1.0</v>
      </c>
      <c r="D14" s="6" t="n">
        <v>206.3</v>
      </c>
      <c r="E14" s="6" t="n">
        <v>206.3</v>
      </c>
      <c r="F14" s="10" t="n">
        <v>495.0</v>
      </c>
      <c r="G14" s="6" t="n">
        <v>495.0</v>
      </c>
      <c r="H14" s="5" t="n">
        <v>5.0249940001E12</v>
      </c>
      <c r="I14" s="3" t="s">
        <v>47</v>
      </c>
      <c r="J14" s="11" t="s">
        <v>42</v>
      </c>
      <c r="K14" s="17" t="n">
        <v>89.53420000000001</v>
      </c>
      <c r="L14" s="17" t="n">
        <v>89.53420000000001</v>
      </c>
      <c r="M14" s="3" t="s">
        <v>21</v>
      </c>
      <c r="N14" s="3" t="s">
        <v>43</v>
      </c>
      <c r="O14" s="3" t="s">
        <v>44</v>
      </c>
      <c r="P14" s="12" t="str">
        <f>HYPERLINK("http://slimages.macys.com/is/image/MCY/1723992 ")</f>
      </c>
    </row>
    <row r="15" spans="1:16">
      <c r="A15" s="9" t="s">
        <v>59</v>
      </c>
      <c r="B15" s="3" t="s">
        <v>60</v>
      </c>
      <c r="C15" s="5" t="n">
        <v>1.0</v>
      </c>
      <c r="D15" s="6" t="n">
        <v>90.0</v>
      </c>
      <c r="E15" s="6" t="n">
        <v>90.0</v>
      </c>
      <c r="F15" s="10" t="n">
        <v>198.0</v>
      </c>
      <c r="G15" s="6" t="n">
        <v>198.0</v>
      </c>
      <c r="H15" s="5" t="s">
        <v>61</v>
      </c>
      <c r="I15" s="3" t="s">
        <v>62</v>
      </c>
      <c r="J15" s="11" t="s">
        <v>63</v>
      </c>
      <c r="K15" s="17" t="n">
        <v>39.06</v>
      </c>
      <c r="L15" s="17" t="n">
        <v>39.06</v>
      </c>
      <c r="M15" s="3" t="s">
        <v>20</v>
      </c>
      <c r="N15" s="3" t="s">
        <v>64</v>
      </c>
      <c r="O15" s="3" t="s">
        <v>65</v>
      </c>
      <c r="P15" s="12" t="str">
        <f>HYPERLINK("http://images.bloomingdales.com/is/image/BLM/8466636 ")</f>
      </c>
    </row>
    <row r="16" spans="1:16">
      <c r="A16" s="9" t="s">
        <v>66</v>
      </c>
      <c r="B16" s="3" t="s">
        <v>67</v>
      </c>
      <c r="C16" s="5" t="n">
        <v>1.0</v>
      </c>
      <c r="D16" s="6" t="n">
        <v>80.0</v>
      </c>
      <c r="E16" s="6" t="n">
        <v>80.0</v>
      </c>
      <c r="F16" s="10" t="n">
        <v>176.0</v>
      </c>
      <c r="G16" s="6" t="n">
        <v>176.0</v>
      </c>
      <c r="H16" s="5" t="s">
        <v>68</v>
      </c>
      <c r="I16" s="3" t="s">
        <v>69</v>
      </c>
      <c r="J16" s="11" t="s">
        <v>70</v>
      </c>
      <c r="K16" s="17" t="n">
        <v>34.72</v>
      </c>
      <c r="L16" s="17" t="n">
        <v>34.72</v>
      </c>
      <c r="M16" s="3" t="s">
        <v>20</v>
      </c>
      <c r="N16" s="3" t="s">
        <v>64</v>
      </c>
      <c r="O16" s="3" t="s">
        <v>71</v>
      </c>
      <c r="P16" s="12" t="str">
        <f>HYPERLINK("http://images.bloomingdales.com/is/image/BLM/8100343 ")</f>
      </c>
    </row>
    <row r="17" spans="1:16">
      <c r="A17" s="9" t="s">
        <v>72</v>
      </c>
      <c r="B17" s="3" t="s">
        <v>73</v>
      </c>
      <c r="C17" s="5" t="n">
        <v>1.0</v>
      </c>
      <c r="D17" s="6" t="n">
        <v>79.0</v>
      </c>
      <c r="E17" s="6" t="n">
        <v>79.0</v>
      </c>
      <c r="F17" s="10" t="n">
        <v>189.99</v>
      </c>
      <c r="G17" s="6" t="n">
        <v>189.99</v>
      </c>
      <c r="H17" s="5" t="s">
        <v>74</v>
      </c>
      <c r="I17" s="3" t="s">
        <v>75</v>
      </c>
      <c r="J17" s="11" t="s">
        <v>76</v>
      </c>
      <c r="K17" s="17" t="n">
        <v>34.286</v>
      </c>
      <c r="L17" s="17" t="n">
        <v>34.286</v>
      </c>
      <c r="M17" s="3" t="s">
        <v>21</v>
      </c>
      <c r="N17" s="3" t="s">
        <v>77</v>
      </c>
      <c r="O17" s="3" t="s">
        <v>78</v>
      </c>
      <c r="P17" s="12" t="str">
        <f>HYPERLINK("http://slimages.macys.com/is/image/MCY/2152673 ")</f>
      </c>
    </row>
    <row r="18" spans="1:16" ht="24.75">
      <c r="A18" s="9" t="s">
        <v>79</v>
      </c>
      <c r="B18" s="3" t="s">
        <v>80</v>
      </c>
      <c r="C18" s="5" t="n">
        <v>1.0</v>
      </c>
      <c r="D18" s="6" t="n">
        <v>72.0</v>
      </c>
      <c r="E18" s="6" t="n">
        <v>72.0</v>
      </c>
      <c r="F18" s="10" t="n">
        <v>158.0</v>
      </c>
      <c r="G18" s="6" t="n">
        <v>158.0</v>
      </c>
      <c r="H18" s="5" t="s">
        <v>81</v>
      </c>
      <c r="I18" s="3" t="s">
        <v>82</v>
      </c>
      <c r="J18" s="11" t="s">
        <v>83</v>
      </c>
      <c r="K18" s="17" t="n">
        <v>31.248</v>
      </c>
      <c r="L18" s="17" t="n">
        <v>31.248</v>
      </c>
      <c r="M18" s="3" t="s">
        <v>20</v>
      </c>
      <c r="N18" s="3" t="s">
        <v>64</v>
      </c>
      <c r="O18" s="3" t="s">
        <v>84</v>
      </c>
      <c r="P18" s="12" t="str">
        <f>HYPERLINK("http://images.bloomingdales.com/is/image/BLM/8319498 ")</f>
      </c>
    </row>
    <row r="19" spans="1:16" ht="24.75">
      <c r="A19" s="9" t="s">
        <v>85</v>
      </c>
      <c r="B19" s="3" t="s">
        <v>86</v>
      </c>
      <c r="C19" s="5" t="n">
        <v>1.0</v>
      </c>
      <c r="D19" s="6" t="n">
        <v>63.0</v>
      </c>
      <c r="E19" s="6" t="n">
        <v>63.0</v>
      </c>
      <c r="F19" s="10" t="n">
        <v>138.0</v>
      </c>
      <c r="G19" s="6" t="n">
        <v>138.0</v>
      </c>
      <c r="H19" s="5" t="s">
        <v>87</v>
      </c>
      <c r="I19" s="3" t="s">
        <v>62</v>
      </c>
      <c r="J19" s="11" t="s">
        <v>88</v>
      </c>
      <c r="K19" s="17" t="n">
        <v>27.342000000000002</v>
      </c>
      <c r="L19" s="17" t="n">
        <v>27.342000000000002</v>
      </c>
      <c r="M19" s="3" t="s">
        <v>20</v>
      </c>
      <c r="N19" s="3" t="s">
        <v>64</v>
      </c>
      <c r="O19" s="3" t="s">
        <v>84</v>
      </c>
      <c r="P19" s="12" t="str">
        <f>HYPERLINK("http://slimages.macys.com/is/image/MCY/921682 ")</f>
      </c>
    </row>
    <row r="20" spans="1:16" ht="24.75">
      <c r="A20" s="9" t="s">
        <v>89</v>
      </c>
      <c r="B20" s="3" t="s">
        <v>90</v>
      </c>
      <c r="C20" s="5" t="n">
        <v>1.0</v>
      </c>
      <c r="D20" s="6" t="n">
        <v>63.0</v>
      </c>
      <c r="E20" s="6" t="n">
        <v>63.0</v>
      </c>
      <c r="F20" s="10" t="n">
        <v>138.0</v>
      </c>
      <c r="G20" s="6" t="n">
        <v>138.0</v>
      </c>
      <c r="H20" s="5" t="s">
        <v>87</v>
      </c>
      <c r="I20" s="3" t="s">
        <v>62</v>
      </c>
      <c r="J20" s="11" t="s">
        <v>91</v>
      </c>
      <c r="K20" s="17" t="n">
        <v>27.342000000000002</v>
      </c>
      <c r="L20" s="17" t="n">
        <v>27.342000000000002</v>
      </c>
      <c r="M20" s="3" t="s">
        <v>20</v>
      </c>
      <c r="N20" s="3" t="s">
        <v>64</v>
      </c>
      <c r="O20" s="3" t="s">
        <v>84</v>
      </c>
      <c r="P20" s="12" t="str">
        <f>HYPERLINK("http://slimages.macys.com/is/image/MCY/921682 ")</f>
      </c>
    </row>
    <row r="21" spans="1:16" ht="24.75">
      <c r="A21" s="9" t="s">
        <v>92</v>
      </c>
      <c r="B21" s="3" t="s">
        <v>93</v>
      </c>
      <c r="C21" s="5" t="n">
        <v>1.0</v>
      </c>
      <c r="D21" s="6" t="n">
        <v>62.5</v>
      </c>
      <c r="E21" s="6" t="n">
        <v>62.5</v>
      </c>
      <c r="F21" s="10" t="n">
        <v>125.0</v>
      </c>
      <c r="G21" s="6" t="n">
        <v>125.0</v>
      </c>
      <c r="H21" s="5" t="s">
        <v>94</v>
      </c>
      <c r="I21" s="3" t="s">
        <v>69</v>
      </c>
      <c r="J21" s="11" t="s">
        <v>42</v>
      </c>
      <c r="K21" s="17" t="n">
        <v>27.125</v>
      </c>
      <c r="L21" s="17" t="n">
        <v>27.125</v>
      </c>
      <c r="M21" s="3" t="s">
        <v>21</v>
      </c>
      <c r="N21" s="3" t="s">
        <v>95</v>
      </c>
      <c r="O21" s="3" t="s">
        <v>96</v>
      </c>
      <c r="P21" s="12" t="str">
        <f>HYPERLINK("http://slimages.macys.com/is/image/MCY/1797140 ")</f>
      </c>
    </row>
    <row r="22" spans="1:16" ht="24.75">
      <c r="A22" s="9" t="s">
        <v>97</v>
      </c>
      <c r="B22" s="3" t="s">
        <v>98</v>
      </c>
      <c r="C22" s="5" t="n">
        <v>1.0</v>
      </c>
      <c r="D22" s="6" t="n">
        <v>57.5</v>
      </c>
      <c r="E22" s="6" t="n">
        <v>57.5</v>
      </c>
      <c r="F22" s="10" t="n">
        <v>115.0</v>
      </c>
      <c r="G22" s="6" t="n">
        <v>115.0</v>
      </c>
      <c r="H22" s="5" t="s">
        <v>99</v>
      </c>
      <c r="I22" s="3" t="s">
        <v>100</v>
      </c>
      <c r="J22" s="11" t="s">
        <v>54</v>
      </c>
      <c r="K22" s="17" t="n">
        <v>24.955000000000002</v>
      </c>
      <c r="L22" s="17" t="n">
        <v>24.955000000000002</v>
      </c>
      <c r="M22" s="3" t="s">
        <v>21</v>
      </c>
      <c r="N22" s="3" t="s">
        <v>95</v>
      </c>
      <c r="O22" s="3" t="s">
        <v>96</v>
      </c>
      <c r="P22" s="12" t="str">
        <f>HYPERLINK("http://slimages.macys.com/is/image/MCY/1817535 ")</f>
      </c>
    </row>
    <row r="23" spans="1:16" ht="24.75">
      <c r="A23" s="9" t="s">
        <v>101</v>
      </c>
      <c r="B23" s="3" t="s">
        <v>102</v>
      </c>
      <c r="C23" s="5" t="n">
        <v>1.0</v>
      </c>
      <c r="D23" s="6" t="n">
        <v>57.5</v>
      </c>
      <c r="E23" s="6" t="n">
        <v>57.5</v>
      </c>
      <c r="F23" s="10" t="n">
        <v>115.0</v>
      </c>
      <c r="G23" s="6" t="n">
        <v>115.0</v>
      </c>
      <c r="H23" s="5" t="s">
        <v>103</v>
      </c>
      <c r="I23" s="3" t="s">
        <v>69</v>
      </c>
      <c r="J23" s="11" t="s">
        <v>36</v>
      </c>
      <c r="K23" s="17" t="n">
        <v>24.955000000000002</v>
      </c>
      <c r="L23" s="17" t="n">
        <v>24.955000000000002</v>
      </c>
      <c r="M23" s="3" t="s">
        <v>21</v>
      </c>
      <c r="N23" s="3" t="s">
        <v>95</v>
      </c>
      <c r="O23" s="3" t="s">
        <v>96</v>
      </c>
      <c r="P23" s="12" t="str">
        <f>HYPERLINK("http://slimages.macys.com/is/image/MCY/1817535 ")</f>
      </c>
    </row>
    <row r="24" spans="1:16" ht="24.75">
      <c r="A24" s="9" t="s">
        <v>104</v>
      </c>
      <c r="B24" s="3" t="s">
        <v>105</v>
      </c>
      <c r="C24" s="5" t="n">
        <v>1.0</v>
      </c>
      <c r="D24" s="6" t="n">
        <v>56.25</v>
      </c>
      <c r="E24" s="6" t="n">
        <v>56.25</v>
      </c>
      <c r="F24" s="10" t="n">
        <v>125.0</v>
      </c>
      <c r="G24" s="6" t="n">
        <v>125.0</v>
      </c>
      <c r="H24" s="5" t="s">
        <v>106</v>
      </c>
      <c r="I24" s="3" t="s">
        <v>107</v>
      </c>
      <c r="J24" s="11" t="s">
        <v>108</v>
      </c>
      <c r="K24" s="17" t="n">
        <v>24.4125</v>
      </c>
      <c r="L24" s="17" t="n">
        <v>24.4125</v>
      </c>
      <c r="M24" s="3" t="s">
        <v>21</v>
      </c>
      <c r="N24" s="3" t="s">
        <v>95</v>
      </c>
      <c r="O24" s="3" t="s">
        <v>109</v>
      </c>
      <c r="P24" s="12" t="str">
        <f>HYPERLINK("http://slimages.macys.com/is/image/MCY/2095170 ")</f>
      </c>
    </row>
    <row r="25" spans="1:16" ht="24.75">
      <c r="A25" s="9" t="s">
        <v>110</v>
      </c>
      <c r="B25" s="3" t="s">
        <v>111</v>
      </c>
      <c r="C25" s="5" t="n">
        <v>1.0</v>
      </c>
      <c r="D25" s="6" t="n">
        <v>56.0</v>
      </c>
      <c r="E25" s="6" t="n">
        <v>56.0</v>
      </c>
      <c r="F25" s="10" t="n">
        <v>125.0</v>
      </c>
      <c r="G25" s="6" t="n">
        <v>125.0</v>
      </c>
      <c r="H25" s="5" t="s">
        <v>112</v>
      </c>
      <c r="I25" s="3" t="s">
        <v>113</v>
      </c>
      <c r="J25" s="11" t="s">
        <v>114</v>
      </c>
      <c r="K25" s="17" t="n">
        <v>24.304</v>
      </c>
      <c r="L25" s="17" t="n">
        <v>24.304</v>
      </c>
      <c r="M25" s="3" t="s">
        <v>20</v>
      </c>
      <c r="N25" s="3" t="s">
        <v>64</v>
      </c>
      <c r="O25" s="3" t="s">
        <v>71</v>
      </c>
      <c r="P25" s="12" t="str">
        <f>HYPERLINK("http://images.bloomingdales.com/is/image/BLM/8497471 ")</f>
      </c>
    </row>
    <row r="26" spans="1:16" ht="24.75">
      <c r="A26" s="9" t="s">
        <v>115</v>
      </c>
      <c r="B26" s="3" t="s">
        <v>111</v>
      </c>
      <c r="C26" s="5" t="n">
        <v>1.0</v>
      </c>
      <c r="D26" s="6" t="n">
        <v>56.0</v>
      </c>
      <c r="E26" s="6" t="n">
        <v>56.0</v>
      </c>
      <c r="F26" s="10" t="n">
        <v>125.0</v>
      </c>
      <c r="G26" s="6" t="n">
        <v>125.0</v>
      </c>
      <c r="H26" s="5" t="s">
        <v>112</v>
      </c>
      <c r="I26" s="3" t="s">
        <v>113</v>
      </c>
      <c r="J26" s="11" t="s">
        <v>116</v>
      </c>
      <c r="K26" s="17" t="n">
        <v>24.304</v>
      </c>
      <c r="L26" s="17" t="n">
        <v>24.304</v>
      </c>
      <c r="M26" s="3" t="s">
        <v>20</v>
      </c>
      <c r="N26" s="3" t="s">
        <v>64</v>
      </c>
      <c r="O26" s="3" t="s">
        <v>71</v>
      </c>
      <c r="P26" s="12" t="str">
        <f>HYPERLINK("http://images.bloomingdales.com/is/image/BLM/8497471 ")</f>
      </c>
    </row>
    <row r="27" spans="1:16" ht="24.75">
      <c r="A27" s="9" t="s">
        <v>117</v>
      </c>
      <c r="B27" s="3" t="s">
        <v>118</v>
      </c>
      <c r="C27" s="5" t="n">
        <v>1.0</v>
      </c>
      <c r="D27" s="6" t="n">
        <v>55.0</v>
      </c>
      <c r="E27" s="6" t="n">
        <v>55.0</v>
      </c>
      <c r="F27" s="10" t="n">
        <v>148.0</v>
      </c>
      <c r="G27" s="6" t="n">
        <v>148.0</v>
      </c>
      <c r="H27" s="5" t="s">
        <v>119</v>
      </c>
      <c r="I27" s="3" t="s">
        <v>35</v>
      </c>
      <c r="J27" s="11" t="s">
        <v>54</v>
      </c>
      <c r="K27" s="17" t="n">
        <v>23.87</v>
      </c>
      <c r="L27" s="17" t="n">
        <v>23.87</v>
      </c>
      <c r="M27" s="3" t="s">
        <v>21</v>
      </c>
      <c r="N27" s="3" t="s">
        <v>37</v>
      </c>
      <c r="O27" s="3" t="s">
        <v>38</v>
      </c>
      <c r="P27" s="12" t="str">
        <f>HYPERLINK("http://slimages.macys.com/is/image/MCY/1867350 ")</f>
      </c>
    </row>
    <row r="28" spans="1:16" ht="24.75">
      <c r="A28" s="9" t="s">
        <v>120</v>
      </c>
      <c r="B28" s="3" t="s">
        <v>121</v>
      </c>
      <c r="C28" s="5" t="n">
        <v>1.0</v>
      </c>
      <c r="D28" s="6" t="n">
        <v>51.75</v>
      </c>
      <c r="E28" s="6" t="n">
        <v>51.75</v>
      </c>
      <c r="F28" s="10" t="n">
        <v>98.0</v>
      </c>
      <c r="G28" s="6" t="n">
        <v>98.0</v>
      </c>
      <c r="H28" s="5" t="s">
        <v>122</v>
      </c>
      <c r="I28" s="3" t="s">
        <v>123</v>
      </c>
      <c r="J28" s="11" t="s">
        <v>42</v>
      </c>
      <c r="K28" s="17" t="n">
        <v>22.459500000000002</v>
      </c>
      <c r="L28" s="17" t="n">
        <v>22.459500000000002</v>
      </c>
      <c r="M28" s="3" t="s">
        <v>21</v>
      </c>
      <c r="N28" s="3" t="s">
        <v>95</v>
      </c>
      <c r="O28" s="3" t="s">
        <v>96</v>
      </c>
      <c r="P28" s="12" t="str">
        <f>HYPERLINK("http://slimages.macys.com/is/image/MCY/1935652 ")</f>
      </c>
    </row>
    <row r="29" spans="1:16" ht="24.75">
      <c r="A29" s="9" t="s">
        <v>124</v>
      </c>
      <c r="B29" s="3" t="s">
        <v>125</v>
      </c>
      <c r="C29" s="5" t="n">
        <v>1.0</v>
      </c>
      <c r="D29" s="6" t="n">
        <v>49.0</v>
      </c>
      <c r="E29" s="6" t="n">
        <v>49.0</v>
      </c>
      <c r="F29" s="10" t="n">
        <v>98.0</v>
      </c>
      <c r="G29" s="6" t="n">
        <v>98.0</v>
      </c>
      <c r="H29" s="5" t="s">
        <v>126</v>
      </c>
      <c r="I29" s="3" t="s">
        <v>127</v>
      </c>
      <c r="J29" s="11" t="s">
        <v>54</v>
      </c>
      <c r="K29" s="17" t="n">
        <v>21.266000000000002</v>
      </c>
      <c r="L29" s="17" t="n">
        <v>21.266000000000002</v>
      </c>
      <c r="M29" s="3" t="s">
        <v>21</v>
      </c>
      <c r="N29" s="3" t="s">
        <v>95</v>
      </c>
      <c r="O29" s="3" t="s">
        <v>96</v>
      </c>
      <c r="P29" s="12" t="str">
        <f>HYPERLINK("http://slimages.macys.com/is/image/MCY/1865435 ")</f>
      </c>
    </row>
    <row r="30" spans="1:16" ht="24.75">
      <c r="A30" s="9" t="s">
        <v>128</v>
      </c>
      <c r="B30" s="3" t="s">
        <v>129</v>
      </c>
      <c r="C30" s="5" t="n">
        <v>1.0</v>
      </c>
      <c r="D30" s="6" t="n">
        <v>49.0</v>
      </c>
      <c r="E30" s="6" t="n">
        <v>49.0</v>
      </c>
      <c r="F30" s="10" t="n">
        <v>98.0</v>
      </c>
      <c r="G30" s="6" t="n">
        <v>98.0</v>
      </c>
      <c r="H30" s="5" t="n">
        <v>485510.0</v>
      </c>
      <c r="I30" s="3" t="s">
        <v>130</v>
      </c>
      <c r="J30" s="11" t="s">
        <v>42</v>
      </c>
      <c r="K30" s="17" t="n">
        <v>21.266000000000002</v>
      </c>
      <c r="L30" s="17" t="n">
        <v>21.266000000000002</v>
      </c>
      <c r="M30" s="3" t="s">
        <v>21</v>
      </c>
      <c r="N30" s="3" t="s">
        <v>95</v>
      </c>
      <c r="O30" s="3" t="s">
        <v>96</v>
      </c>
      <c r="P30" s="12" t="str">
        <f>HYPERLINK("http://slimages.macys.com/is/image/MCY/1797293 ")</f>
      </c>
    </row>
    <row r="31" spans="1:16" ht="24.75">
      <c r="A31" s="9" t="s">
        <v>131</v>
      </c>
      <c r="B31" s="3" t="s">
        <v>132</v>
      </c>
      <c r="C31" s="5" t="n">
        <v>1.0</v>
      </c>
      <c r="D31" s="6" t="n">
        <v>49.0</v>
      </c>
      <c r="E31" s="6" t="n">
        <v>49.0</v>
      </c>
      <c r="F31" s="10" t="n">
        <v>98.0</v>
      </c>
      <c r="G31" s="6" t="n">
        <v>98.0</v>
      </c>
      <c r="H31" s="5" t="n">
        <v>485497.0</v>
      </c>
      <c r="I31" s="3" t="s">
        <v>133</v>
      </c>
      <c r="J31" s="11" t="s">
        <v>42</v>
      </c>
      <c r="K31" s="17" t="n">
        <v>21.266000000000002</v>
      </c>
      <c r="L31" s="17" t="n">
        <v>21.266000000000002</v>
      </c>
      <c r="M31" s="3" t="s">
        <v>21</v>
      </c>
      <c r="N31" s="3" t="s">
        <v>95</v>
      </c>
      <c r="O31" s="3" t="s">
        <v>96</v>
      </c>
      <c r="P31" s="12" t="str">
        <f>HYPERLINK("http://slimages.macys.com/is/image/MCY/1797293 ")</f>
      </c>
    </row>
    <row r="32" spans="1:16" ht="24.75">
      <c r="A32" s="9" t="s">
        <v>134</v>
      </c>
      <c r="B32" s="3" t="s">
        <v>135</v>
      </c>
      <c r="C32" s="5" t="n">
        <v>1.0</v>
      </c>
      <c r="D32" s="6" t="n">
        <v>49.0</v>
      </c>
      <c r="E32" s="6" t="n">
        <v>49.0</v>
      </c>
      <c r="F32" s="10" t="n">
        <v>98.0</v>
      </c>
      <c r="G32" s="6" t="n">
        <v>98.0</v>
      </c>
      <c r="H32" s="5" t="s">
        <v>136</v>
      </c>
      <c r="I32" s="3" t="s">
        <v>137</v>
      </c>
      <c r="J32" s="11" t="s">
        <v>36</v>
      </c>
      <c r="K32" s="17" t="n">
        <v>21.266000000000002</v>
      </c>
      <c r="L32" s="17" t="n">
        <v>21.266000000000002</v>
      </c>
      <c r="M32" s="3" t="s">
        <v>21</v>
      </c>
      <c r="N32" s="3" t="s">
        <v>95</v>
      </c>
      <c r="O32" s="3" t="s">
        <v>96</v>
      </c>
      <c r="P32" s="12" t="str">
        <f>HYPERLINK("http://slimages.macys.com/is/image/MCY/1979845 ")</f>
      </c>
    </row>
    <row r="33" spans="1:16" ht="24.75">
      <c r="A33" s="9" t="s">
        <v>138</v>
      </c>
      <c r="B33" s="3" t="s">
        <v>139</v>
      </c>
      <c r="C33" s="5" t="n">
        <v>1.0</v>
      </c>
      <c r="D33" s="6" t="n">
        <v>49.0</v>
      </c>
      <c r="E33" s="6" t="n">
        <v>49.0</v>
      </c>
      <c r="F33" s="10" t="n">
        <v>98.0</v>
      </c>
      <c r="G33" s="6" t="n">
        <v>98.0</v>
      </c>
      <c r="H33" s="5" t="n">
        <v>493235.0</v>
      </c>
      <c r="I33" s="3" t="s">
        <v>140</v>
      </c>
      <c r="J33" s="11" t="s">
        <v>48</v>
      </c>
      <c r="K33" s="17" t="n">
        <v>21.266000000000002</v>
      </c>
      <c r="L33" s="17" t="n">
        <v>21.266000000000002</v>
      </c>
      <c r="M33" s="3" t="s">
        <v>21</v>
      </c>
      <c r="N33" s="3" t="s">
        <v>95</v>
      </c>
      <c r="O33" s="3" t="s">
        <v>96</v>
      </c>
      <c r="P33" s="12" t="str">
        <f>HYPERLINK("http://slimages.macys.com/is/image/MCY/1865401 ")</f>
      </c>
    </row>
    <row r="34" spans="1:16" ht="24.75">
      <c r="A34" s="9" t="s">
        <v>141</v>
      </c>
      <c r="B34" s="3" t="s">
        <v>142</v>
      </c>
      <c r="C34" s="5" t="n">
        <v>1.0</v>
      </c>
      <c r="D34" s="6" t="n">
        <v>49.0</v>
      </c>
      <c r="E34" s="6" t="n">
        <v>49.0</v>
      </c>
      <c r="F34" s="10" t="n">
        <v>98.0</v>
      </c>
      <c r="G34" s="6" t="n">
        <v>98.0</v>
      </c>
      <c r="H34" s="5" t="s">
        <v>143</v>
      </c>
      <c r="I34" s="3" t="s">
        <v>62</v>
      </c>
      <c r="J34" s="11" t="s">
        <v>144</v>
      </c>
      <c r="K34" s="17" t="n">
        <v>21.266000000000002</v>
      </c>
      <c r="L34" s="17" t="n">
        <v>21.266000000000002</v>
      </c>
      <c r="M34" s="3" t="s">
        <v>21</v>
      </c>
      <c r="N34" s="3" t="s">
        <v>95</v>
      </c>
      <c r="O34" s="3" t="s">
        <v>96</v>
      </c>
      <c r="P34" s="12" t="str">
        <f>HYPERLINK("http://slimages.macys.com/is/image/MCY/2085323 ")</f>
      </c>
    </row>
    <row r="35" spans="1:16" ht="24.75">
      <c r="A35" s="9" t="s">
        <v>145</v>
      </c>
      <c r="B35" s="3" t="s">
        <v>146</v>
      </c>
      <c r="C35" s="5" t="n">
        <v>1.0</v>
      </c>
      <c r="D35" s="6" t="n">
        <v>49.0</v>
      </c>
      <c r="E35" s="6" t="n">
        <v>49.0</v>
      </c>
      <c r="F35" s="10" t="n">
        <v>98.0</v>
      </c>
      <c r="G35" s="6" t="n">
        <v>98.0</v>
      </c>
      <c r="H35" s="5" t="n">
        <v>492511.0</v>
      </c>
      <c r="I35" s="3" t="s">
        <v>147</v>
      </c>
      <c r="J35" s="11" t="s">
        <v>48</v>
      </c>
      <c r="K35" s="17" t="n">
        <v>21.266000000000002</v>
      </c>
      <c r="L35" s="17" t="n">
        <v>21.266000000000002</v>
      </c>
      <c r="M35" s="3" t="s">
        <v>21</v>
      </c>
      <c r="N35" s="3" t="s">
        <v>95</v>
      </c>
      <c r="O35" s="3" t="s">
        <v>96</v>
      </c>
      <c r="P35" s="12" t="str">
        <f>HYPERLINK("http://slimages.macys.com/is/image/MCY/1994390 ")</f>
      </c>
    </row>
    <row r="36" spans="1:16" ht="24.75">
      <c r="A36" s="9" t="s">
        <v>148</v>
      </c>
      <c r="B36" s="3" t="s">
        <v>149</v>
      </c>
      <c r="C36" s="5" t="n">
        <v>1.0</v>
      </c>
      <c r="D36" s="6" t="n">
        <v>49.0</v>
      </c>
      <c r="E36" s="6" t="n">
        <v>49.0</v>
      </c>
      <c r="F36" s="10" t="n">
        <v>98.0</v>
      </c>
      <c r="G36" s="6" t="n">
        <v>98.0</v>
      </c>
      <c r="H36" s="5" t="s">
        <v>150</v>
      </c>
      <c r="I36" s="3" t="s">
        <v>147</v>
      </c>
      <c r="J36" s="11" t="s">
        <v>54</v>
      </c>
      <c r="K36" s="17" t="n">
        <v>21.266000000000002</v>
      </c>
      <c r="L36" s="17" t="n">
        <v>21.266000000000002</v>
      </c>
      <c r="M36" s="3" t="s">
        <v>21</v>
      </c>
      <c r="N36" s="3" t="s">
        <v>95</v>
      </c>
      <c r="O36" s="3" t="s">
        <v>96</v>
      </c>
      <c r="P36" s="12" t="str">
        <f>HYPERLINK("http://slimages.macys.com/is/image/MCY/2139258 ")</f>
      </c>
    </row>
    <row r="37" spans="1:16" ht="24.75">
      <c r="A37" s="9" t="s">
        <v>151</v>
      </c>
      <c r="B37" s="3" t="s">
        <v>152</v>
      </c>
      <c r="C37" s="5" t="n">
        <v>1.0</v>
      </c>
      <c r="D37" s="6" t="n">
        <v>44.75</v>
      </c>
      <c r="E37" s="6" t="n">
        <v>44.75</v>
      </c>
      <c r="F37" s="10" t="n">
        <v>89.5</v>
      </c>
      <c r="G37" s="6" t="n">
        <v>89.5</v>
      </c>
      <c r="H37" s="5" t="n">
        <v>496591.0</v>
      </c>
      <c r="I37" s="3" t="s">
        <v>153</v>
      </c>
      <c r="J37" s="11" t="s">
        <v>54</v>
      </c>
      <c r="K37" s="17" t="n">
        <v>19.421499999999998</v>
      </c>
      <c r="L37" s="17" t="n">
        <v>19.421499999999998</v>
      </c>
      <c r="M37" s="3" t="s">
        <v>21</v>
      </c>
      <c r="N37" s="3" t="s">
        <v>95</v>
      </c>
      <c r="O37" s="3" t="s">
        <v>96</v>
      </c>
      <c r="P37" s="12" t="str">
        <f>HYPERLINK("http://slimages.macys.com/is/image/MCY/2095096 ")</f>
      </c>
    </row>
    <row r="38" spans="1:16" ht="24.75">
      <c r="A38" s="9" t="s">
        <v>154</v>
      </c>
      <c r="B38" s="3" t="s">
        <v>155</v>
      </c>
      <c r="C38" s="5" t="n">
        <v>2.0</v>
      </c>
      <c r="D38" s="6" t="n">
        <v>44.75</v>
      </c>
      <c r="E38" s="6" t="n">
        <v>89.5</v>
      </c>
      <c r="F38" s="10" t="n">
        <v>89.5</v>
      </c>
      <c r="G38" s="6" t="n">
        <v>179.0</v>
      </c>
      <c r="H38" s="5" t="s">
        <v>156</v>
      </c>
      <c r="I38" s="3" t="s">
        <v>62</v>
      </c>
      <c r="J38" s="11" t="s">
        <v>157</v>
      </c>
      <c r="K38" s="17" t="n">
        <v>19.421499999999998</v>
      </c>
      <c r="L38" s="17" t="n">
        <v>38.842999999999996</v>
      </c>
      <c r="M38" s="3" t="s">
        <v>21</v>
      </c>
      <c r="N38" s="3" t="s">
        <v>95</v>
      </c>
      <c r="O38" s="3" t="s">
        <v>96</v>
      </c>
      <c r="P38" s="12" t="str">
        <f>HYPERLINK("http://slimages.macys.com/is/image/MCY/2104295 ")</f>
      </c>
    </row>
    <row r="39" spans="1:16" ht="24.75">
      <c r="A39" s="9" t="s">
        <v>158</v>
      </c>
      <c r="B39" s="3" t="s">
        <v>159</v>
      </c>
      <c r="C39" s="5" t="n">
        <v>1.0</v>
      </c>
      <c r="D39" s="6" t="n">
        <v>44.75</v>
      </c>
      <c r="E39" s="6" t="n">
        <v>44.75</v>
      </c>
      <c r="F39" s="10" t="n">
        <v>89.5</v>
      </c>
      <c r="G39" s="6" t="n">
        <v>89.5</v>
      </c>
      <c r="H39" s="5" t="s">
        <v>160</v>
      </c>
      <c r="I39" s="3" t="s">
        <v>161</v>
      </c>
      <c r="J39" s="11" t="s">
        <v>157</v>
      </c>
      <c r="K39" s="17" t="n">
        <v>19.421499999999998</v>
      </c>
      <c r="L39" s="17" t="n">
        <v>19.421499999999998</v>
      </c>
      <c r="M39" s="3" t="s">
        <v>21</v>
      </c>
      <c r="N39" s="3" t="s">
        <v>95</v>
      </c>
      <c r="O39" s="3" t="s">
        <v>96</v>
      </c>
      <c r="P39" s="12" t="str">
        <f>HYPERLINK("http://slimages.macys.com/is/image/MCY/2104295 ")</f>
      </c>
    </row>
    <row r="40" spans="1:16" ht="24.75">
      <c r="A40" s="9" t="s">
        <v>162</v>
      </c>
      <c r="B40" s="3" t="s">
        <v>163</v>
      </c>
      <c r="C40" s="5" t="n">
        <v>1.0</v>
      </c>
      <c r="D40" s="6" t="n">
        <v>44.1</v>
      </c>
      <c r="E40" s="6" t="n">
        <v>44.1</v>
      </c>
      <c r="F40" s="10" t="n">
        <v>98.0</v>
      </c>
      <c r="G40" s="6" t="n">
        <v>98.0</v>
      </c>
      <c r="H40" s="5" t="n">
        <v>416095.0</v>
      </c>
      <c r="I40" s="3" t="s">
        <v>164</v>
      </c>
      <c r="J40" s="11" t="s">
        <v>48</v>
      </c>
      <c r="K40" s="17" t="n">
        <v>19.139400000000002</v>
      </c>
      <c r="L40" s="17" t="n">
        <v>19.139400000000002</v>
      </c>
      <c r="M40" s="3" t="s">
        <v>21</v>
      </c>
      <c r="N40" s="3" t="s">
        <v>95</v>
      </c>
      <c r="O40" s="3" t="s">
        <v>96</v>
      </c>
      <c r="P40" s="12" t="str">
        <f>HYPERLINK("http://slimages.macys.com/is/image/MCY/2444729 ")</f>
      </c>
    </row>
    <row r="41" spans="1:16" ht="24.75">
      <c r="A41" s="9" t="s">
        <v>165</v>
      </c>
      <c r="B41" s="3" t="s">
        <v>166</v>
      </c>
      <c r="C41" s="5" t="n">
        <v>1.0</v>
      </c>
      <c r="D41" s="6" t="n">
        <v>44.1</v>
      </c>
      <c r="E41" s="6" t="n">
        <v>44.1</v>
      </c>
      <c r="F41" s="10" t="n">
        <v>98.0</v>
      </c>
      <c r="G41" s="6" t="n">
        <v>98.0</v>
      </c>
      <c r="H41" s="5" t="s">
        <v>167</v>
      </c>
      <c r="I41" s="3" t="s">
        <v>69</v>
      </c>
      <c r="J41" s="11" t="s">
        <v>157</v>
      </c>
      <c r="K41" s="17" t="n">
        <v>19.139400000000002</v>
      </c>
      <c r="L41" s="17" t="n">
        <v>19.139400000000002</v>
      </c>
      <c r="M41" s="3" t="s">
        <v>21</v>
      </c>
      <c r="N41" s="3" t="s">
        <v>95</v>
      </c>
      <c r="O41" s="3" t="s">
        <v>96</v>
      </c>
      <c r="P41" s="12" t="str">
        <f>HYPERLINK("http://slimages.macys.com/is/image/MCY/2104293 ")</f>
      </c>
    </row>
    <row r="42" spans="1:16" ht="24.75">
      <c r="A42" s="9" t="s">
        <v>168</v>
      </c>
      <c r="B42" s="3" t="s">
        <v>169</v>
      </c>
      <c r="C42" s="5" t="n">
        <v>1.0</v>
      </c>
      <c r="D42" s="6" t="n">
        <v>44.1</v>
      </c>
      <c r="E42" s="6" t="n">
        <v>44.1</v>
      </c>
      <c r="F42" s="10" t="n">
        <v>98.0</v>
      </c>
      <c r="G42" s="6" t="n">
        <v>98.0</v>
      </c>
      <c r="H42" s="5" t="n">
        <v>416086.0</v>
      </c>
      <c r="I42" s="3" t="s">
        <v>47</v>
      </c>
      <c r="J42" s="11" t="s">
        <v>36</v>
      </c>
      <c r="K42" s="17" t="n">
        <v>19.139400000000002</v>
      </c>
      <c r="L42" s="17" t="n">
        <v>19.139400000000002</v>
      </c>
      <c r="M42" s="3" t="s">
        <v>21</v>
      </c>
      <c r="N42" s="3" t="s">
        <v>95</v>
      </c>
      <c r="O42" s="3" t="s">
        <v>96</v>
      </c>
      <c r="P42" s="12" t="str">
        <f>HYPERLINK("http://slimages.macys.com/is/image/MCY/2444726 ")</f>
      </c>
    </row>
    <row r="43" spans="1:16" ht="24.75">
      <c r="A43" s="9" t="s">
        <v>170</v>
      </c>
      <c r="B43" s="3" t="s">
        <v>171</v>
      </c>
      <c r="C43" s="5" t="n">
        <v>1.0</v>
      </c>
      <c r="D43" s="6" t="n">
        <v>44.0</v>
      </c>
      <c r="E43" s="6" t="n">
        <v>44.0</v>
      </c>
      <c r="F43" s="10" t="n">
        <v>118.0</v>
      </c>
      <c r="G43" s="6" t="n">
        <v>118.0</v>
      </c>
      <c r="H43" s="5" t="s">
        <v>172</v>
      </c>
      <c r="I43" s="3" t="s">
        <v>173</v>
      </c>
      <c r="J43" s="11" t="s">
        <v>36</v>
      </c>
      <c r="K43" s="17" t="n">
        <v>19.096</v>
      </c>
      <c r="L43" s="17" t="n">
        <v>19.096</v>
      </c>
      <c r="M43" s="3" t="s">
        <v>21</v>
      </c>
      <c r="N43" s="3" t="s">
        <v>37</v>
      </c>
      <c r="O43" s="3" t="s">
        <v>38</v>
      </c>
      <c r="P43" s="12" t="str">
        <f>HYPERLINK("http://slimages.macys.com/is/image/MCY/1331617 ")</f>
      </c>
    </row>
    <row r="44" spans="1:16" ht="24.75">
      <c r="A44" s="9" t="s">
        <v>174</v>
      </c>
      <c r="B44" s="3" t="s">
        <v>175</v>
      </c>
      <c r="C44" s="5" t="n">
        <v>1.0</v>
      </c>
      <c r="D44" s="6" t="n">
        <v>42.5</v>
      </c>
      <c r="E44" s="6" t="n">
        <v>42.5</v>
      </c>
      <c r="F44" s="10" t="n">
        <v>85.0</v>
      </c>
      <c r="G44" s="6" t="n">
        <v>85.0</v>
      </c>
      <c r="H44" s="5" t="n">
        <v>495170.0</v>
      </c>
      <c r="I44" s="3" t="s">
        <v>69</v>
      </c>
      <c r="J44" s="11" t="s">
        <v>51</v>
      </c>
      <c r="K44" s="17" t="n">
        <v>18.445</v>
      </c>
      <c r="L44" s="17" t="n">
        <v>18.445</v>
      </c>
      <c r="M44" s="3" t="s">
        <v>21</v>
      </c>
      <c r="N44" s="3" t="s">
        <v>95</v>
      </c>
      <c r="O44" s="3" t="s">
        <v>96</v>
      </c>
      <c r="P44" s="12" t="str">
        <f>HYPERLINK("http://slimages.macys.com/is/image/MCY/2085306 ")</f>
      </c>
    </row>
    <row r="45" spans="1:16" ht="24.75">
      <c r="A45" s="9" t="s">
        <v>176</v>
      </c>
      <c r="B45" s="3" t="s">
        <v>177</v>
      </c>
      <c r="C45" s="5" t="n">
        <v>1.0</v>
      </c>
      <c r="D45" s="6" t="n">
        <v>42.5</v>
      </c>
      <c r="E45" s="6" t="n">
        <v>42.5</v>
      </c>
      <c r="F45" s="10" t="n">
        <v>85.0</v>
      </c>
      <c r="G45" s="6" t="n">
        <v>85.0</v>
      </c>
      <c r="H45" s="5" t="s">
        <v>178</v>
      </c>
      <c r="I45" s="3" t="s">
        <v>173</v>
      </c>
      <c r="J45" s="11" t="s">
        <v>48</v>
      </c>
      <c r="K45" s="17" t="n">
        <v>18.445</v>
      </c>
      <c r="L45" s="17" t="n">
        <v>18.445</v>
      </c>
      <c r="M45" s="3" t="s">
        <v>21</v>
      </c>
      <c r="N45" s="3" t="s">
        <v>95</v>
      </c>
      <c r="O45" s="3" t="s">
        <v>96</v>
      </c>
      <c r="P45" s="12" t="str">
        <f>HYPERLINK("http://slimages.macys.com/is/image/MCY/2073945 ")</f>
      </c>
    </row>
    <row r="46" spans="1:16" ht="24.75">
      <c r="A46" s="9" t="s">
        <v>179</v>
      </c>
      <c r="B46" s="3" t="s">
        <v>180</v>
      </c>
      <c r="C46" s="5" t="n">
        <v>1.0</v>
      </c>
      <c r="D46" s="6" t="n">
        <v>42.5</v>
      </c>
      <c r="E46" s="6" t="n">
        <v>42.5</v>
      </c>
      <c r="F46" s="10" t="n">
        <v>85.0</v>
      </c>
      <c r="G46" s="6" t="n">
        <v>85.0</v>
      </c>
      <c r="H46" s="5" t="s">
        <v>181</v>
      </c>
      <c r="I46" s="3" t="s">
        <v>123</v>
      </c>
      <c r="J46" s="11" t="s">
        <v>182</v>
      </c>
      <c r="K46" s="17" t="n">
        <v>18.445</v>
      </c>
      <c r="L46" s="17" t="n">
        <v>18.445</v>
      </c>
      <c r="M46" s="3" t="s">
        <v>21</v>
      </c>
      <c r="N46" s="3" t="s">
        <v>95</v>
      </c>
      <c r="O46" s="3" t="s">
        <v>96</v>
      </c>
      <c r="P46" s="12" t="str">
        <f>HYPERLINK("http://slimages.macys.com/is/image/MCY/2104246 ")</f>
      </c>
    </row>
    <row r="47" spans="1:16" ht="24.75">
      <c r="A47" s="9" t="s">
        <v>183</v>
      </c>
      <c r="B47" s="3" t="s">
        <v>184</v>
      </c>
      <c r="C47" s="5" t="n">
        <v>1.0</v>
      </c>
      <c r="D47" s="6" t="n">
        <v>42.0</v>
      </c>
      <c r="E47" s="6" t="n">
        <v>42.0</v>
      </c>
      <c r="F47" s="10" t="n">
        <v>95.0</v>
      </c>
      <c r="G47" s="6" t="n">
        <v>95.0</v>
      </c>
      <c r="H47" s="5" t="s">
        <v>185</v>
      </c>
      <c r="I47" s="3" t="s">
        <v>69</v>
      </c>
      <c r="J47" s="11" t="s">
        <v>36</v>
      </c>
      <c r="K47" s="17" t="n">
        <v>18.228</v>
      </c>
      <c r="L47" s="17" t="n">
        <v>18.228</v>
      </c>
      <c r="M47" s="3" t="s">
        <v>20</v>
      </c>
      <c r="N47" s="3" t="s">
        <v>186</v>
      </c>
      <c r="O47" s="3" t="s">
        <v>187</v>
      </c>
      <c r="P47" s="12" t="str">
        <f>HYPERLINK("http://images.bloomingdales.com/is/image/BLM/8247360 ")</f>
      </c>
    </row>
    <row r="48" spans="1:16" ht="24.75">
      <c r="A48" s="9" t="s">
        <v>188</v>
      </c>
      <c r="B48" s="3" t="s">
        <v>189</v>
      </c>
      <c r="C48" s="5" t="n">
        <v>2.0</v>
      </c>
      <c r="D48" s="6" t="n">
        <v>41.83</v>
      </c>
      <c r="E48" s="6" t="n">
        <v>83.66</v>
      </c>
      <c r="F48" s="10" t="n">
        <v>119.5</v>
      </c>
      <c r="G48" s="6" t="n">
        <v>239.0</v>
      </c>
      <c r="H48" s="5" t="s">
        <v>190</v>
      </c>
      <c r="I48" s="3" t="s">
        <v>173</v>
      </c>
      <c r="J48" s="11" t="s">
        <v>42</v>
      </c>
      <c r="K48" s="17" t="n">
        <v>18.154220000000002</v>
      </c>
      <c r="L48" s="17" t="n">
        <v>36.308440000000004</v>
      </c>
      <c r="M48" s="3" t="s">
        <v>21</v>
      </c>
      <c r="N48" s="3" t="s">
        <v>191</v>
      </c>
      <c r="O48" s="3" t="s">
        <v>192</v>
      </c>
      <c r="P48" s="12" t="str">
        <f>HYPERLINK("http://slimages.macys.com/is/image/MCY/2105294 ")</f>
      </c>
    </row>
    <row r="49" spans="1:16" ht="24.75">
      <c r="A49" s="9" t="s">
        <v>193</v>
      </c>
      <c r="B49" s="3" t="s">
        <v>194</v>
      </c>
      <c r="C49" s="5" t="n">
        <v>1.0</v>
      </c>
      <c r="D49" s="6" t="n">
        <v>40.25</v>
      </c>
      <c r="E49" s="6" t="n">
        <v>40.25</v>
      </c>
      <c r="F49" s="10" t="n">
        <v>89.5</v>
      </c>
      <c r="G49" s="6" t="n">
        <v>89.5</v>
      </c>
      <c r="H49" s="5" t="s">
        <v>195</v>
      </c>
      <c r="I49" s="3" t="s">
        <v>196</v>
      </c>
      <c r="J49" s="11" t="s">
        <v>197</v>
      </c>
      <c r="K49" s="17" t="n">
        <v>17.4685</v>
      </c>
      <c r="L49" s="17" t="n">
        <v>17.4685</v>
      </c>
      <c r="M49" s="3" t="s">
        <v>21</v>
      </c>
      <c r="N49" s="3" t="s">
        <v>64</v>
      </c>
      <c r="O49" s="3" t="s">
        <v>187</v>
      </c>
      <c r="P49" s="12" t="str">
        <f>HYPERLINK("http://slimages.macys.com/is/image/MCY/1649968 ")</f>
      </c>
    </row>
    <row r="50" spans="1:16" ht="24.75">
      <c r="A50" s="9" t="s">
        <v>198</v>
      </c>
      <c r="B50" s="3" t="s">
        <v>199</v>
      </c>
      <c r="C50" s="5" t="n">
        <v>1.0</v>
      </c>
      <c r="D50" s="6" t="n">
        <v>40.0</v>
      </c>
      <c r="E50" s="6" t="n">
        <v>40.0</v>
      </c>
      <c r="F50" s="10" t="n">
        <v>95.0</v>
      </c>
      <c r="G50" s="6" t="n">
        <v>95.0</v>
      </c>
      <c r="H50" s="5" t="s">
        <v>200</v>
      </c>
      <c r="I50" s="3" t="s">
        <v>62</v>
      </c>
      <c r="J50" s="11" t="s">
        <v>201</v>
      </c>
      <c r="K50" s="17" t="n">
        <v>17.36</v>
      </c>
      <c r="L50" s="17" t="n">
        <v>17.36</v>
      </c>
      <c r="M50" s="3" t="s">
        <v>21</v>
      </c>
      <c r="N50" s="3" t="s">
        <v>202</v>
      </c>
      <c r="O50" s="3" t="s">
        <v>203</v>
      </c>
      <c r="P50" s="12" t="str">
        <f>HYPERLINK("http://slimages.macys.com/is/image/MCY/1299685 ")</f>
      </c>
    </row>
    <row r="51" spans="1:16" ht="24.75">
      <c r="A51" s="9" t="s">
        <v>204</v>
      </c>
      <c r="B51" s="3" t="s">
        <v>205</v>
      </c>
      <c r="C51" s="5" t="n">
        <v>1.0</v>
      </c>
      <c r="D51" s="6" t="n">
        <v>38.25</v>
      </c>
      <c r="E51" s="6" t="n">
        <v>38.25</v>
      </c>
      <c r="F51" s="10" t="n">
        <v>85.0</v>
      </c>
      <c r="G51" s="6" t="n">
        <v>85.0</v>
      </c>
      <c r="H51" s="5" t="n">
        <v>4499032.0</v>
      </c>
      <c r="I51" s="3" t="s">
        <v>206</v>
      </c>
      <c r="J51" s="11" t="s">
        <v>36</v>
      </c>
      <c r="K51" s="17" t="n">
        <v>16.6005</v>
      </c>
      <c r="L51" s="17" t="n">
        <v>16.6005</v>
      </c>
      <c r="M51" s="3" t="s">
        <v>21</v>
      </c>
      <c r="N51" s="3" t="s">
        <v>95</v>
      </c>
      <c r="O51" s="3" t="s">
        <v>96</v>
      </c>
      <c r="P51" s="12" t="str">
        <f>HYPERLINK("http://slimages.macys.com/is/image/MCY/2095155 ")</f>
      </c>
    </row>
    <row r="52" spans="1:16" ht="24.75">
      <c r="A52" s="9" t="s">
        <v>207</v>
      </c>
      <c r="B52" s="3" t="s">
        <v>208</v>
      </c>
      <c r="C52" s="5" t="n">
        <v>1.0</v>
      </c>
      <c r="D52" s="6" t="n">
        <v>37.59</v>
      </c>
      <c r="E52" s="6" t="n">
        <v>37.59</v>
      </c>
      <c r="F52" s="10" t="n">
        <v>79.98</v>
      </c>
      <c r="G52" s="6" t="n">
        <v>79.98</v>
      </c>
      <c r="H52" s="5" t="s">
        <v>209</v>
      </c>
      <c r="I52" s="3" t="s">
        <v>210</v>
      </c>
      <c r="J52" s="11" t="s">
        <v>54</v>
      </c>
      <c r="K52" s="17" t="n">
        <v>16.31406</v>
      </c>
      <c r="L52" s="17" t="n">
        <v>16.31406</v>
      </c>
      <c r="M52" s="3" t="s">
        <v>21</v>
      </c>
      <c r="N52" s="3" t="s">
        <v>191</v>
      </c>
      <c r="O52" s="3" t="s">
        <v>192</v>
      </c>
      <c r="P52" s="12" t="str">
        <f>HYPERLINK("http://slimages.macys.com/is/image/MCY/1980354 ")</f>
      </c>
    </row>
    <row r="53" spans="1:16" ht="24.75">
      <c r="A53" s="9" t="s">
        <v>211</v>
      </c>
      <c r="B53" s="3" t="s">
        <v>212</v>
      </c>
      <c r="C53" s="5" t="n">
        <v>1.0</v>
      </c>
      <c r="D53" s="6" t="n">
        <v>37.5</v>
      </c>
      <c r="E53" s="6" t="n">
        <v>37.5</v>
      </c>
      <c r="F53" s="10" t="n">
        <v>75.0</v>
      </c>
      <c r="G53" s="6" t="n">
        <v>75.0</v>
      </c>
      <c r="H53" s="5" t="s">
        <v>213</v>
      </c>
      <c r="I53" s="3" t="s">
        <v>173</v>
      </c>
      <c r="J53" s="11" t="s">
        <v>157</v>
      </c>
      <c r="K53" s="17" t="n">
        <v>16.275000000000002</v>
      </c>
      <c r="L53" s="17" t="n">
        <v>16.275000000000002</v>
      </c>
      <c r="M53" s="3" t="s">
        <v>21</v>
      </c>
      <c r="N53" s="3" t="s">
        <v>95</v>
      </c>
      <c r="O53" s="3" t="s">
        <v>96</v>
      </c>
      <c r="P53" s="12" t="str">
        <f>HYPERLINK("http://slimages.macys.com/is/image/MCY/1947273 ")</f>
      </c>
    </row>
    <row r="54" spans="1:16" ht="24.75">
      <c r="A54" s="9" t="s">
        <v>214</v>
      </c>
      <c r="B54" s="3" t="s">
        <v>215</v>
      </c>
      <c r="C54" s="5" t="n">
        <v>1.0</v>
      </c>
      <c r="D54" s="6" t="n">
        <v>37.5</v>
      </c>
      <c r="E54" s="6" t="n">
        <v>37.5</v>
      </c>
      <c r="F54" s="10" t="n">
        <v>109.98</v>
      </c>
      <c r="G54" s="6" t="n">
        <v>109.98</v>
      </c>
      <c r="H54" s="5" t="s">
        <v>216</v>
      </c>
      <c r="I54" s="3" t="s">
        <v>47</v>
      </c>
      <c r="J54" s="11" t="s">
        <v>54</v>
      </c>
      <c r="K54" s="17" t="n">
        <v>16.275000000000002</v>
      </c>
      <c r="L54" s="17" t="n">
        <v>16.275000000000002</v>
      </c>
      <c r="M54" s="3" t="s">
        <v>21</v>
      </c>
      <c r="N54" s="3" t="s">
        <v>217</v>
      </c>
      <c r="O54" s="3" t="s">
        <v>218</v>
      </c>
      <c r="P54" s="12" t="str">
        <f>HYPERLINK("http://slimages.macys.com/is/image/MCY/1532965 ")</f>
      </c>
    </row>
    <row r="55" spans="1:16" ht="24.75">
      <c r="A55" s="9" t="s">
        <v>219</v>
      </c>
      <c r="B55" s="3" t="s">
        <v>220</v>
      </c>
      <c r="C55" s="5" t="n">
        <v>1.0</v>
      </c>
      <c r="D55" s="6" t="n">
        <v>36.0</v>
      </c>
      <c r="E55" s="6" t="n">
        <v>36.0</v>
      </c>
      <c r="F55" s="10" t="n">
        <v>79.5</v>
      </c>
      <c r="G55" s="6" t="n">
        <v>79.5</v>
      </c>
      <c r="H55" s="5" t="s">
        <v>221</v>
      </c>
      <c r="I55" s="3" t="s">
        <v>41</v>
      </c>
      <c r="J55" s="11" t="s">
        <v>42</v>
      </c>
      <c r="K55" s="17" t="n">
        <v>15.624</v>
      </c>
      <c r="L55" s="17" t="n">
        <v>15.624</v>
      </c>
      <c r="M55" s="3" t="s">
        <v>20</v>
      </c>
      <c r="N55" s="3" t="s">
        <v>186</v>
      </c>
      <c r="O55" s="3" t="s">
        <v>222</v>
      </c>
      <c r="P55" s="12" t="str">
        <f>HYPERLINK("http://images.bloomingdales.com/is/image/BLM/8321743 ")</f>
      </c>
    </row>
    <row r="56" spans="1:16" ht="24.75">
      <c r="A56" s="9" t="s">
        <v>223</v>
      </c>
      <c r="B56" s="3" t="s">
        <v>224</v>
      </c>
      <c r="C56" s="5" t="n">
        <v>1.0</v>
      </c>
      <c r="D56" s="6" t="n">
        <v>34.85</v>
      </c>
      <c r="E56" s="6" t="n">
        <v>34.85</v>
      </c>
      <c r="F56" s="10" t="n">
        <v>89.0</v>
      </c>
      <c r="G56" s="6" t="n">
        <v>89.0</v>
      </c>
      <c r="H56" s="5" t="s">
        <v>225</v>
      </c>
      <c r="I56" s="3" t="s">
        <v>82</v>
      </c>
      <c r="J56" s="11" t="s">
        <v>48</v>
      </c>
      <c r="K56" s="17" t="n">
        <v>15.124899999999998</v>
      </c>
      <c r="L56" s="17" t="n">
        <v>15.124899999999998</v>
      </c>
      <c r="M56" s="3" t="s">
        <v>21</v>
      </c>
      <c r="N56" s="3" t="s">
        <v>226</v>
      </c>
      <c r="O56" s="3" t="s">
        <v>227</v>
      </c>
      <c r="P56" s="12" t="str">
        <f>HYPERLINK("http://slimages.macys.com/is/image/MCY/2106600 ")</f>
      </c>
    </row>
    <row r="57" spans="1:16" ht="24.75">
      <c r="A57" s="9" t="s">
        <v>228</v>
      </c>
      <c r="B57" s="3" t="s">
        <v>229</v>
      </c>
      <c r="C57" s="5" t="n">
        <v>1.0</v>
      </c>
      <c r="D57" s="6" t="n">
        <v>34.75</v>
      </c>
      <c r="E57" s="6" t="n">
        <v>34.75</v>
      </c>
      <c r="F57" s="10" t="n">
        <v>69.5</v>
      </c>
      <c r="G57" s="6" t="n">
        <v>69.5</v>
      </c>
      <c r="H57" s="5" t="n">
        <v>7860736.0</v>
      </c>
      <c r="I57" s="3" t="s">
        <v>173</v>
      </c>
      <c r="J57" s="11" t="s">
        <v>230</v>
      </c>
      <c r="K57" s="17" t="n">
        <v>15.081500000000002</v>
      </c>
      <c r="L57" s="17" t="n">
        <v>15.081500000000002</v>
      </c>
      <c r="M57" s="3" t="s">
        <v>21</v>
      </c>
      <c r="N57" s="3" t="s">
        <v>231</v>
      </c>
      <c r="O57" s="3" t="s">
        <v>232</v>
      </c>
      <c r="P57" s="12" t="str">
        <f>HYPERLINK("http://slimages.macys.com/is/image/MCY/2085925 ")</f>
      </c>
    </row>
    <row r="58" spans="1:16" ht="24.75">
      <c r="A58" s="9" t="s">
        <v>233</v>
      </c>
      <c r="B58" s="3" t="s">
        <v>234</v>
      </c>
      <c r="C58" s="5" t="n">
        <v>1.0</v>
      </c>
      <c r="D58" s="6" t="n">
        <v>34.75</v>
      </c>
      <c r="E58" s="6" t="n">
        <v>34.75</v>
      </c>
      <c r="F58" s="10" t="n">
        <v>69.5</v>
      </c>
      <c r="G58" s="6" t="n">
        <v>69.5</v>
      </c>
      <c r="H58" s="5" t="s">
        <v>235</v>
      </c>
      <c r="I58" s="3" t="s">
        <v>173</v>
      </c>
      <c r="J58" s="11" t="s">
        <v>144</v>
      </c>
      <c r="K58" s="17" t="n">
        <v>15.081500000000002</v>
      </c>
      <c r="L58" s="17" t="n">
        <v>15.081500000000002</v>
      </c>
      <c r="M58" s="3" t="s">
        <v>21</v>
      </c>
      <c r="N58" s="3" t="s">
        <v>95</v>
      </c>
      <c r="O58" s="3" t="s">
        <v>96</v>
      </c>
      <c r="P58" s="12" t="str">
        <f>HYPERLINK("http://slimages.macys.com/is/image/MCY/2038180 ")</f>
      </c>
    </row>
    <row r="59" spans="1:16" ht="24.75">
      <c r="A59" s="9" t="s">
        <v>236</v>
      </c>
      <c r="B59" s="3" t="s">
        <v>237</v>
      </c>
      <c r="C59" s="5" t="n">
        <v>1.0</v>
      </c>
      <c r="D59" s="6" t="n">
        <v>32.5</v>
      </c>
      <c r="E59" s="6" t="n">
        <v>32.5</v>
      </c>
      <c r="F59" s="10" t="n">
        <v>69.99</v>
      </c>
      <c r="G59" s="6" t="n">
        <v>69.99</v>
      </c>
      <c r="H59" s="5" t="s">
        <v>238</v>
      </c>
      <c r="I59" s="3" t="s">
        <v>47</v>
      </c>
      <c r="J59" s="11" t="s">
        <v>239</v>
      </c>
      <c r="K59" s="17" t="n">
        <v>14.105</v>
      </c>
      <c r="L59" s="17" t="n">
        <v>14.105</v>
      </c>
      <c r="M59" s="3" t="s">
        <v>21</v>
      </c>
      <c r="N59" s="3" t="s">
        <v>240</v>
      </c>
      <c r="O59" s="3" t="s">
        <v>241</v>
      </c>
      <c r="P59" s="12" t="str">
        <f>HYPERLINK("http://slimages.macys.com/is/image/MCY/1981141 ")</f>
      </c>
    </row>
    <row r="60" spans="1:16" ht="24.75">
      <c r="A60" s="9" t="s">
        <v>242</v>
      </c>
      <c r="B60" s="3" t="s">
        <v>243</v>
      </c>
      <c r="C60" s="5" t="n">
        <v>1.0</v>
      </c>
      <c r="D60" s="6" t="n">
        <v>30.5</v>
      </c>
      <c r="E60" s="6" t="n">
        <v>30.5</v>
      </c>
      <c r="F60" s="10" t="n">
        <v>69.5</v>
      </c>
      <c r="G60" s="6" t="n">
        <v>69.5</v>
      </c>
      <c r="H60" s="5" t="s">
        <v>244</v>
      </c>
      <c r="I60" s="3" t="s">
        <v>47</v>
      </c>
      <c r="J60" s="11" t="s">
        <v>197</v>
      </c>
      <c r="K60" s="17" t="n">
        <v>13.236999999999998</v>
      </c>
      <c r="L60" s="17" t="n">
        <v>13.236999999999998</v>
      </c>
      <c r="M60" s="3" t="s">
        <v>21</v>
      </c>
      <c r="N60" s="3" t="s">
        <v>64</v>
      </c>
      <c r="O60" s="3" t="s">
        <v>187</v>
      </c>
      <c r="P60" s="12" t="str">
        <f>HYPERLINK("http://slimages.macys.com/is/image/MCY/2276925 ")</f>
      </c>
    </row>
    <row r="61" spans="1:16" ht="24.75">
      <c r="A61" s="9" t="s">
        <v>245</v>
      </c>
      <c r="B61" s="3" t="s">
        <v>246</v>
      </c>
      <c r="C61" s="5" t="n">
        <v>1.0</v>
      </c>
      <c r="D61" s="6" t="n">
        <v>30.0</v>
      </c>
      <c r="E61" s="6" t="n">
        <v>30.0</v>
      </c>
      <c r="F61" s="10" t="n">
        <v>79.5</v>
      </c>
      <c r="G61" s="6" t="n">
        <v>79.5</v>
      </c>
      <c r="H61" s="5" t="s">
        <v>247</v>
      </c>
      <c r="I61" s="3" t="s">
        <v>210</v>
      </c>
      <c r="J61" s="11" t="s">
        <v>54</v>
      </c>
      <c r="K61" s="17" t="n">
        <v>13.020000000000001</v>
      </c>
      <c r="L61" s="17" t="n">
        <v>13.020000000000001</v>
      </c>
      <c r="M61" s="3" t="s">
        <v>21</v>
      </c>
      <c r="N61" s="3" t="s">
        <v>248</v>
      </c>
      <c r="O61" s="3" t="s">
        <v>249</v>
      </c>
      <c r="P61" s="12" t="str">
        <f>HYPERLINK("http://slimages.macys.com/is/image/MCY/1962134 ")</f>
      </c>
    </row>
    <row r="62" spans="1:16" ht="24.75">
      <c r="A62" s="9" t="s">
        <v>250</v>
      </c>
      <c r="B62" s="3" t="s">
        <v>251</v>
      </c>
      <c r="C62" s="5" t="n">
        <v>1.0</v>
      </c>
      <c r="D62" s="6" t="n">
        <v>30.0</v>
      </c>
      <c r="E62" s="6" t="n">
        <v>30.0</v>
      </c>
      <c r="F62" s="10" t="n">
        <v>79.5</v>
      </c>
      <c r="G62" s="6" t="n">
        <v>79.5</v>
      </c>
      <c r="H62" s="5" t="s">
        <v>252</v>
      </c>
      <c r="I62" s="3" t="s">
        <v>100</v>
      </c>
      <c r="J62" s="11" t="s">
        <v>48</v>
      </c>
      <c r="K62" s="17" t="n">
        <v>13.020000000000001</v>
      </c>
      <c r="L62" s="17" t="n">
        <v>13.020000000000001</v>
      </c>
      <c r="M62" s="3" t="s">
        <v>21</v>
      </c>
      <c r="N62" s="3" t="s">
        <v>37</v>
      </c>
      <c r="O62" s="3" t="s">
        <v>38</v>
      </c>
      <c r="P62" s="12" t="str">
        <f>HYPERLINK("http://slimages.macys.com/is/image/MCY/1911903 ")</f>
      </c>
    </row>
    <row r="63" spans="1:16" ht="24.75">
      <c r="A63" s="9" t="s">
        <v>253</v>
      </c>
      <c r="B63" s="3" t="s">
        <v>254</v>
      </c>
      <c r="C63" s="5" t="n">
        <v>1.0</v>
      </c>
      <c r="D63" s="6" t="n">
        <v>30.0</v>
      </c>
      <c r="E63" s="6" t="n">
        <v>30.0</v>
      </c>
      <c r="F63" s="10" t="n">
        <v>68.0</v>
      </c>
      <c r="G63" s="6" t="n">
        <v>68.0</v>
      </c>
      <c r="H63" s="5" t="s">
        <v>255</v>
      </c>
      <c r="I63" s="3" t="s">
        <v>82</v>
      </c>
      <c r="J63" s="11" t="s">
        <v>48</v>
      </c>
      <c r="K63" s="17" t="n">
        <v>13.020000000000001</v>
      </c>
      <c r="L63" s="17" t="n">
        <v>13.020000000000001</v>
      </c>
      <c r="M63" s="3" t="s">
        <v>21</v>
      </c>
      <c r="N63" s="3" t="s">
        <v>37</v>
      </c>
      <c r="O63" s="3" t="s">
        <v>38</v>
      </c>
      <c r="P63" s="12" t="str">
        <f>HYPERLINK("http://slimages.macys.com/is/image/MCY/1457635 ")</f>
      </c>
    </row>
    <row r="64" spans="1:16">
      <c r="A64" s="9" t="s">
        <v>256</v>
      </c>
      <c r="B64" s="3" t="s">
        <v>257</v>
      </c>
      <c r="C64" s="5" t="n">
        <v>1.0</v>
      </c>
      <c r="D64" s="6" t="n">
        <v>29.25</v>
      </c>
      <c r="E64" s="6" t="n">
        <v>29.25</v>
      </c>
      <c r="F64" s="10" t="n">
        <v>65.0</v>
      </c>
      <c r="G64" s="6" t="n">
        <v>65.0</v>
      </c>
      <c r="H64" s="5" t="s">
        <v>258</v>
      </c>
      <c r="I64" s="3" t="s">
        <v>47</v>
      </c>
      <c r="J64" s="11" t="s">
        <v>259</v>
      </c>
      <c r="K64" s="17" t="n">
        <v>12.6945</v>
      </c>
      <c r="L64" s="17" t="n">
        <v>12.6945</v>
      </c>
      <c r="M64" s="3" t="s">
        <v>21</v>
      </c>
      <c r="N64" s="3" t="s">
        <v>260</v>
      </c>
      <c r="O64" s="3" t="s">
        <v>261</v>
      </c>
      <c r="P64" s="12" t="str">
        <f>HYPERLINK("http://slimages.macys.com/is/image/MCY/2199284 ")</f>
      </c>
    </row>
    <row r="65" spans="1:16" ht="24.75">
      <c r="A65" s="9" t="s">
        <v>262</v>
      </c>
      <c r="B65" s="3" t="s">
        <v>263</v>
      </c>
      <c r="C65" s="5" t="n">
        <v>1.0</v>
      </c>
      <c r="D65" s="6" t="n">
        <v>29.0</v>
      </c>
      <c r="E65" s="6" t="n">
        <v>29.0</v>
      </c>
      <c r="F65" s="10" t="n">
        <v>79.5</v>
      </c>
      <c r="G65" s="6" t="n">
        <v>79.5</v>
      </c>
      <c r="H65" s="5" t="s">
        <v>264</v>
      </c>
      <c r="I65" s="3" t="s">
        <v>265</v>
      </c>
      <c r="J65" s="11" t="s">
        <v>266</v>
      </c>
      <c r="K65" s="17" t="n">
        <v>12.585999999999999</v>
      </c>
      <c r="L65" s="17" t="n">
        <v>12.585999999999999</v>
      </c>
      <c r="M65" s="3" t="s">
        <v>21</v>
      </c>
      <c r="N65" s="3" t="s">
        <v>37</v>
      </c>
      <c r="O65" s="3" t="s">
        <v>38</v>
      </c>
      <c r="P65" s="12" t="str">
        <f>HYPERLINK("http://slimages.macys.com/is/image/MCY/2118407 ")</f>
      </c>
    </row>
    <row r="66" spans="1:16" ht="24.75">
      <c r="A66" s="9" t="s">
        <v>267</v>
      </c>
      <c r="B66" s="3" t="s">
        <v>268</v>
      </c>
      <c r="C66" s="5" t="n">
        <v>1.0</v>
      </c>
      <c r="D66" s="6" t="n">
        <v>28.5</v>
      </c>
      <c r="E66" s="6" t="n">
        <v>28.5</v>
      </c>
      <c r="F66" s="10" t="n">
        <v>79.5</v>
      </c>
      <c r="G66" s="6" t="n">
        <v>79.5</v>
      </c>
      <c r="H66" s="5" t="s">
        <v>269</v>
      </c>
      <c r="I66" s="3" t="s">
        <v>210</v>
      </c>
      <c r="J66" s="11" t="s">
        <v>42</v>
      </c>
      <c r="K66" s="17" t="n">
        <v>12.369000000000002</v>
      </c>
      <c r="L66" s="17" t="n">
        <v>12.369000000000002</v>
      </c>
      <c r="M66" s="3" t="s">
        <v>21</v>
      </c>
      <c r="N66" s="3" t="s">
        <v>270</v>
      </c>
      <c r="O66" s="3" t="s">
        <v>271</v>
      </c>
      <c r="P66" s="12" t="str">
        <f>HYPERLINK("http://slimages.macys.com/is/image/MCY/1807518 ")</f>
      </c>
    </row>
    <row r="67" spans="1:16" ht="24.75">
      <c r="A67" s="9" t="s">
        <v>272</v>
      </c>
      <c r="B67" s="3" t="s">
        <v>273</v>
      </c>
      <c r="C67" s="5" t="n">
        <v>1.0</v>
      </c>
      <c r="D67" s="6" t="n">
        <v>25.0</v>
      </c>
      <c r="E67" s="6" t="n">
        <v>25.0</v>
      </c>
      <c r="F67" s="10" t="n">
        <v>55.0</v>
      </c>
      <c r="G67" s="6" t="n">
        <v>55.0</v>
      </c>
      <c r="H67" s="5" t="s">
        <v>274</v>
      </c>
      <c r="I67" s="3" t="s">
        <v>69</v>
      </c>
      <c r="J67" s="11" t="s">
        <v>48</v>
      </c>
      <c r="K67" s="17" t="n">
        <v>10.85</v>
      </c>
      <c r="L67" s="17" t="n">
        <v>10.85</v>
      </c>
      <c r="M67" s="3" t="s">
        <v>20</v>
      </c>
      <c r="N67" s="3" t="s">
        <v>64</v>
      </c>
      <c r="O67" s="3" t="s">
        <v>275</v>
      </c>
      <c r="P67" s="12" t="str">
        <f>HYPERLINK("http://images.bloomingdales.com/is/image/BLM/8503154 ")</f>
      </c>
    </row>
    <row r="68" spans="1:16" ht="24.75">
      <c r="A68" s="9" t="s">
        <v>276</v>
      </c>
      <c r="B68" s="3" t="s">
        <v>277</v>
      </c>
      <c r="C68" s="5" t="n">
        <v>1.0</v>
      </c>
      <c r="D68" s="6" t="n">
        <v>25.0</v>
      </c>
      <c r="E68" s="6" t="n">
        <v>25.0</v>
      </c>
      <c r="F68" s="10" t="n">
        <v>69.5</v>
      </c>
      <c r="G68" s="6" t="n">
        <v>69.5</v>
      </c>
      <c r="H68" s="5" t="s">
        <v>278</v>
      </c>
      <c r="I68" s="3" t="s">
        <v>137</v>
      </c>
      <c r="J68" s="11" t="s">
        <v>51</v>
      </c>
      <c r="K68" s="17" t="n">
        <v>10.85</v>
      </c>
      <c r="L68" s="17" t="n">
        <v>10.85</v>
      </c>
      <c r="M68" s="3" t="s">
        <v>21</v>
      </c>
      <c r="N68" s="3" t="s">
        <v>248</v>
      </c>
      <c r="O68" s="3" t="s">
        <v>249</v>
      </c>
      <c r="P68" s="12" t="str">
        <f>HYPERLINK("http://slimages.macys.com/is/image/MCY/1644885 ")</f>
      </c>
    </row>
    <row r="69" spans="1:16" ht="24.75">
      <c r="A69" s="9" t="s">
        <v>279</v>
      </c>
      <c r="B69" s="3" t="s">
        <v>280</v>
      </c>
      <c r="C69" s="5" t="n">
        <v>1.0</v>
      </c>
      <c r="D69" s="6" t="n">
        <v>24.99</v>
      </c>
      <c r="E69" s="6" t="n">
        <v>24.99</v>
      </c>
      <c r="F69" s="10" t="n">
        <v>49.98</v>
      </c>
      <c r="G69" s="6" t="n">
        <v>49.98</v>
      </c>
      <c r="H69" s="5" t="s">
        <v>281</v>
      </c>
      <c r="I69" s="3" t="s">
        <v>47</v>
      </c>
      <c r="J69" s="11" t="s">
        <v>116</v>
      </c>
      <c r="K69" s="17" t="n">
        <v>10.84566</v>
      </c>
      <c r="L69" s="17" t="n">
        <v>10.84566</v>
      </c>
      <c r="M69" s="3" t="s">
        <v>21</v>
      </c>
      <c r="N69" s="3" t="s">
        <v>191</v>
      </c>
      <c r="O69" s="3" t="s">
        <v>282</v>
      </c>
      <c r="P69" s="12" t="str">
        <f>HYPERLINK("http://slimages.macys.com/is/image/MCY/2175392 ")</f>
      </c>
    </row>
    <row r="70" spans="1:16" ht="24.75">
      <c r="A70" s="9" t="s">
        <v>283</v>
      </c>
      <c r="B70" s="3" t="s">
        <v>284</v>
      </c>
      <c r="C70" s="5" t="n">
        <v>1.0</v>
      </c>
      <c r="D70" s="6" t="n">
        <v>24.67</v>
      </c>
      <c r="E70" s="6" t="n">
        <v>24.67</v>
      </c>
      <c r="F70" s="10" t="n">
        <v>59.5</v>
      </c>
      <c r="G70" s="6" t="n">
        <v>59.5</v>
      </c>
      <c r="H70" s="5" t="s">
        <v>285</v>
      </c>
      <c r="I70" s="3" t="s">
        <v>35</v>
      </c>
      <c r="J70" s="11" t="s">
        <v>42</v>
      </c>
      <c r="K70" s="17" t="n">
        <v>10.70678</v>
      </c>
      <c r="L70" s="17" t="n">
        <v>10.70678</v>
      </c>
      <c r="M70" s="3" t="s">
        <v>21</v>
      </c>
      <c r="N70" s="3" t="s">
        <v>191</v>
      </c>
      <c r="O70" s="3" t="s">
        <v>282</v>
      </c>
      <c r="P70" s="12" t="str">
        <f>HYPERLINK("http://slimages.macys.com/is/image/MCY/1785736 ")</f>
      </c>
    </row>
    <row r="71" spans="1:16">
      <c r="A71" s="9" t="s">
        <v>286</v>
      </c>
      <c r="B71" s="3" t="s">
        <v>287</v>
      </c>
      <c r="C71" s="5" t="n">
        <v>1.0</v>
      </c>
      <c r="D71" s="6" t="n">
        <v>24.5</v>
      </c>
      <c r="E71" s="6" t="n">
        <v>24.5</v>
      </c>
      <c r="F71" s="10" t="n">
        <v>44.99</v>
      </c>
      <c r="G71" s="6" t="n">
        <v>44.99</v>
      </c>
      <c r="H71" s="5" t="n">
        <v>4.62990019E8</v>
      </c>
      <c r="I71" s="3" t="s">
        <v>288</v>
      </c>
      <c r="J71" s="11" t="s">
        <v>289</v>
      </c>
      <c r="K71" s="17" t="n">
        <v>10.633000000000001</v>
      </c>
      <c r="L71" s="17" t="n">
        <v>10.633000000000001</v>
      </c>
      <c r="M71" s="3" t="s">
        <v>21</v>
      </c>
      <c r="N71" s="3" t="s">
        <v>290</v>
      </c>
      <c r="O71" s="3" t="s">
        <v>291</v>
      </c>
      <c r="P71" s="12" t="str">
        <f>HYPERLINK("http://slimages.macys.com/is/image/MCY/1792200 ")</f>
      </c>
    </row>
    <row r="72" spans="1:16" ht="24.75">
      <c r="A72" s="9" t="s">
        <v>292</v>
      </c>
      <c r="B72" s="3" t="s">
        <v>293</v>
      </c>
      <c r="C72" s="5" t="n">
        <v>1.0</v>
      </c>
      <c r="D72" s="6" t="n">
        <v>24.5</v>
      </c>
      <c r="E72" s="6" t="n">
        <v>24.5</v>
      </c>
      <c r="F72" s="10" t="n">
        <v>44.99</v>
      </c>
      <c r="G72" s="6" t="n">
        <v>44.99</v>
      </c>
      <c r="H72" s="5" t="n">
        <v>4.47150092E8</v>
      </c>
      <c r="I72" s="3" t="s">
        <v>294</v>
      </c>
      <c r="J72" s="11" t="s">
        <v>295</v>
      </c>
      <c r="K72" s="17" t="n">
        <v>10.633000000000001</v>
      </c>
      <c r="L72" s="17" t="n">
        <v>10.633000000000001</v>
      </c>
      <c r="M72" s="3" t="s">
        <v>21</v>
      </c>
      <c r="N72" s="3" t="s">
        <v>290</v>
      </c>
      <c r="O72" s="3" t="s">
        <v>291</v>
      </c>
      <c r="P72" s="12" t="str">
        <f>HYPERLINK("http://slimages.macys.com/is/image/MCY/1430491 ")</f>
      </c>
    </row>
    <row r="73" spans="1:16" ht="24.75">
      <c r="A73" s="9" t="s">
        <v>296</v>
      </c>
      <c r="B73" s="3" t="s">
        <v>297</v>
      </c>
      <c r="C73" s="5" t="n">
        <v>1.0</v>
      </c>
      <c r="D73" s="6" t="n">
        <v>24.33</v>
      </c>
      <c r="E73" s="6" t="n">
        <v>24.33</v>
      </c>
      <c r="F73" s="10" t="n">
        <v>69.5</v>
      </c>
      <c r="G73" s="6" t="n">
        <v>69.5</v>
      </c>
      <c r="H73" s="5" t="s">
        <v>298</v>
      </c>
      <c r="I73" s="3" t="s">
        <v>47</v>
      </c>
      <c r="J73" s="11" t="s">
        <v>48</v>
      </c>
      <c r="K73" s="17" t="n">
        <v>10.55922</v>
      </c>
      <c r="L73" s="17" t="n">
        <v>10.55922</v>
      </c>
      <c r="M73" s="3" t="s">
        <v>21</v>
      </c>
      <c r="N73" s="3" t="s">
        <v>191</v>
      </c>
      <c r="O73" s="3" t="s">
        <v>192</v>
      </c>
      <c r="P73" s="12" t="str">
        <f>HYPERLINK("http://slimages.macys.com/is/image/MCY/1832074 ")</f>
      </c>
    </row>
    <row r="74" spans="1:16" ht="24.75">
      <c r="A74" s="9" t="s">
        <v>299</v>
      </c>
      <c r="B74" s="3" t="s">
        <v>300</v>
      </c>
      <c r="C74" s="5" t="n">
        <v>1.0</v>
      </c>
      <c r="D74" s="6" t="n">
        <v>24.33</v>
      </c>
      <c r="E74" s="6" t="n">
        <v>24.33</v>
      </c>
      <c r="F74" s="10" t="n">
        <v>69.5</v>
      </c>
      <c r="G74" s="6" t="n">
        <v>69.5</v>
      </c>
      <c r="H74" s="5" t="s">
        <v>301</v>
      </c>
      <c r="I74" s="3" t="s">
        <v>265</v>
      </c>
      <c r="J74" s="11" t="s">
        <v>48</v>
      </c>
      <c r="K74" s="17" t="n">
        <v>10.55922</v>
      </c>
      <c r="L74" s="17" t="n">
        <v>10.55922</v>
      </c>
      <c r="M74" s="3" t="s">
        <v>21</v>
      </c>
      <c r="N74" s="3" t="s">
        <v>191</v>
      </c>
      <c r="O74" s="3" t="s">
        <v>192</v>
      </c>
      <c r="P74" s="12" t="str">
        <f>HYPERLINK("http://slimages.macys.com/is/image/MCY/1892765 ")</f>
      </c>
    </row>
    <row r="75" spans="1:16" ht="24.75">
      <c r="A75" s="9" t="s">
        <v>302</v>
      </c>
      <c r="B75" s="3" t="s">
        <v>303</v>
      </c>
      <c r="C75" s="5" t="n">
        <v>2.0</v>
      </c>
      <c r="D75" s="6" t="n">
        <v>24.23</v>
      </c>
      <c r="E75" s="6" t="n">
        <v>48.46</v>
      </c>
      <c r="F75" s="10" t="n">
        <v>79.5</v>
      </c>
      <c r="G75" s="6" t="n">
        <v>159.0</v>
      </c>
      <c r="H75" s="5" t="s">
        <v>304</v>
      </c>
      <c r="I75" s="3" t="s">
        <v>47</v>
      </c>
      <c r="J75" s="11" t="s">
        <v>36</v>
      </c>
      <c r="K75" s="17" t="n">
        <v>10.51582</v>
      </c>
      <c r="L75" s="17" t="n">
        <v>21.03164</v>
      </c>
      <c r="M75" s="3" t="s">
        <v>21</v>
      </c>
      <c r="N75" s="3" t="s">
        <v>270</v>
      </c>
      <c r="O75" s="3" t="s">
        <v>271</v>
      </c>
      <c r="P75" s="12" t="str">
        <f>HYPERLINK("http://slimages.macys.com/is/image/MCY/2085946 ")</f>
      </c>
    </row>
    <row r="76" spans="1:16" ht="24.75">
      <c r="A76" s="9" t="s">
        <v>305</v>
      </c>
      <c r="B76" s="3" t="s">
        <v>306</v>
      </c>
      <c r="C76" s="5" t="n">
        <v>3.0</v>
      </c>
      <c r="D76" s="6" t="n">
        <v>24.23</v>
      </c>
      <c r="E76" s="6" t="n">
        <v>72.69</v>
      </c>
      <c r="F76" s="10" t="n">
        <v>79.5</v>
      </c>
      <c r="G76" s="6" t="n">
        <v>238.5</v>
      </c>
      <c r="H76" s="5" t="s">
        <v>304</v>
      </c>
      <c r="I76" s="3" t="s">
        <v>47</v>
      </c>
      <c r="J76" s="11" t="s">
        <v>42</v>
      </c>
      <c r="K76" s="17" t="n">
        <v>10.51582</v>
      </c>
      <c r="L76" s="17" t="n">
        <v>31.54746</v>
      </c>
      <c r="M76" s="3" t="s">
        <v>21</v>
      </c>
      <c r="N76" s="3" t="s">
        <v>270</v>
      </c>
      <c r="O76" s="3" t="s">
        <v>271</v>
      </c>
      <c r="P76" s="12" t="str">
        <f>HYPERLINK("http://slimages.macys.com/is/image/MCY/2085946 ")</f>
      </c>
    </row>
    <row r="77" spans="1:16" ht="24.75">
      <c r="A77" s="9" t="s">
        <v>307</v>
      </c>
      <c r="B77" s="3" t="s">
        <v>308</v>
      </c>
      <c r="C77" s="5" t="n">
        <v>2.0</v>
      </c>
      <c r="D77" s="6" t="n">
        <v>24.23</v>
      </c>
      <c r="E77" s="6" t="n">
        <v>48.46</v>
      </c>
      <c r="F77" s="10" t="n">
        <v>79.5</v>
      </c>
      <c r="G77" s="6" t="n">
        <v>159.0</v>
      </c>
      <c r="H77" s="5" t="s">
        <v>304</v>
      </c>
      <c r="I77" s="3" t="s">
        <v>47</v>
      </c>
      <c r="J77" s="11" t="s">
        <v>51</v>
      </c>
      <c r="K77" s="17" t="n">
        <v>10.51582</v>
      </c>
      <c r="L77" s="17" t="n">
        <v>21.03164</v>
      </c>
      <c r="M77" s="3" t="s">
        <v>21</v>
      </c>
      <c r="N77" s="3" t="s">
        <v>270</v>
      </c>
      <c r="O77" s="3" t="s">
        <v>271</v>
      </c>
      <c r="P77" s="12" t="str">
        <f>HYPERLINK("http://slimages.macys.com/is/image/MCY/2085946 ")</f>
      </c>
    </row>
    <row r="78" spans="1:16" ht="24.75">
      <c r="A78" s="9" t="s">
        <v>309</v>
      </c>
      <c r="B78" s="3" t="s">
        <v>310</v>
      </c>
      <c r="C78" s="5" t="n">
        <v>1.0</v>
      </c>
      <c r="D78" s="6" t="n">
        <v>24.23</v>
      </c>
      <c r="E78" s="6" t="n">
        <v>24.23</v>
      </c>
      <c r="F78" s="10" t="n">
        <v>79.5</v>
      </c>
      <c r="G78" s="6" t="n">
        <v>79.5</v>
      </c>
      <c r="H78" s="5" t="s">
        <v>311</v>
      </c>
      <c r="I78" s="3" t="s">
        <v>196</v>
      </c>
      <c r="J78" s="11" t="s">
        <v>54</v>
      </c>
      <c r="K78" s="17" t="n">
        <v>10.51582</v>
      </c>
      <c r="L78" s="17" t="n">
        <v>10.51582</v>
      </c>
      <c r="M78" s="3" t="s">
        <v>21</v>
      </c>
      <c r="N78" s="3" t="s">
        <v>270</v>
      </c>
      <c r="O78" s="3" t="s">
        <v>271</v>
      </c>
      <c r="P78" s="12" t="str">
        <f>HYPERLINK("http://slimages.macys.com/is/image/MCY/1995155 ")</f>
      </c>
    </row>
    <row r="79" spans="1:16" ht="24.75">
      <c r="A79" s="9" t="s">
        <v>312</v>
      </c>
      <c r="B79" s="3" t="s">
        <v>313</v>
      </c>
      <c r="C79" s="5" t="n">
        <v>1.0</v>
      </c>
      <c r="D79" s="6" t="n">
        <v>24.23</v>
      </c>
      <c r="E79" s="6" t="n">
        <v>24.23</v>
      </c>
      <c r="F79" s="10" t="n">
        <v>79.5</v>
      </c>
      <c r="G79" s="6" t="n">
        <v>79.5</v>
      </c>
      <c r="H79" s="5" t="s">
        <v>304</v>
      </c>
      <c r="I79" s="3" t="s">
        <v>47</v>
      </c>
      <c r="J79" s="11" t="s">
        <v>48</v>
      </c>
      <c r="K79" s="17" t="n">
        <v>10.51582</v>
      </c>
      <c r="L79" s="17" t="n">
        <v>10.51582</v>
      </c>
      <c r="M79" s="3" t="s">
        <v>21</v>
      </c>
      <c r="N79" s="3" t="s">
        <v>270</v>
      </c>
      <c r="O79" s="3" t="s">
        <v>271</v>
      </c>
      <c r="P79" s="12" t="str">
        <f>HYPERLINK("http://slimages.macys.com/is/image/MCY/2085946 ")</f>
      </c>
    </row>
    <row r="80" spans="1:16" ht="24.75">
      <c r="A80" s="9" t="s">
        <v>314</v>
      </c>
      <c r="B80" s="3" t="s">
        <v>315</v>
      </c>
      <c r="C80" s="5" t="n">
        <v>1.0</v>
      </c>
      <c r="D80" s="6" t="n">
        <v>24.0</v>
      </c>
      <c r="E80" s="6" t="n">
        <v>24.0</v>
      </c>
      <c r="F80" s="10" t="n">
        <v>65.0</v>
      </c>
      <c r="G80" s="6" t="n">
        <v>65.0</v>
      </c>
      <c r="H80" s="5" t="s">
        <v>316</v>
      </c>
      <c r="I80" s="3" t="s">
        <v>35</v>
      </c>
      <c r="J80" s="11" t="s">
        <v>42</v>
      </c>
      <c r="K80" s="17" t="n">
        <v>10.416</v>
      </c>
      <c r="L80" s="17" t="n">
        <v>10.416</v>
      </c>
      <c r="M80" s="3" t="s">
        <v>21</v>
      </c>
      <c r="N80" s="3" t="s">
        <v>37</v>
      </c>
      <c r="O80" s="3" t="s">
        <v>38</v>
      </c>
      <c r="P80" s="12" t="str">
        <f>HYPERLINK("http://slimages.macys.com/is/image/MCY/1986501 ")</f>
      </c>
    </row>
    <row r="81" spans="1:16" ht="24.75">
      <c r="A81" s="9" t="s">
        <v>317</v>
      </c>
      <c r="B81" s="3" t="s">
        <v>318</v>
      </c>
      <c r="C81" s="5" t="n">
        <v>1.0</v>
      </c>
      <c r="D81" s="6" t="n">
        <v>24.0</v>
      </c>
      <c r="E81" s="6" t="n">
        <v>24.0</v>
      </c>
      <c r="F81" s="10" t="n">
        <v>79.5</v>
      </c>
      <c r="G81" s="6" t="n">
        <v>79.5</v>
      </c>
      <c r="H81" s="5" t="s">
        <v>319</v>
      </c>
      <c r="I81" s="3" t="s">
        <v>130</v>
      </c>
      <c r="J81" s="11" t="s">
        <v>320</v>
      </c>
      <c r="K81" s="17" t="n">
        <v>10.416</v>
      </c>
      <c r="L81" s="17" t="n">
        <v>10.416</v>
      </c>
      <c r="M81" s="3" t="s">
        <v>21</v>
      </c>
      <c r="N81" s="3" t="s">
        <v>95</v>
      </c>
      <c r="O81" s="3" t="s">
        <v>96</v>
      </c>
      <c r="P81" s="12" t="str">
        <f>HYPERLINK("http://images.bloomingdales.com/is/image/BLM/1179526 ")</f>
      </c>
    </row>
    <row r="82" spans="1:16" ht="24.75">
      <c r="A82" s="9" t="s">
        <v>321</v>
      </c>
      <c r="B82" s="3" t="s">
        <v>322</v>
      </c>
      <c r="C82" s="5" t="n">
        <v>1.0</v>
      </c>
      <c r="D82" s="6" t="n">
        <v>24.0</v>
      </c>
      <c r="E82" s="6" t="n">
        <v>24.0</v>
      </c>
      <c r="F82" s="10" t="n">
        <v>65.0</v>
      </c>
      <c r="G82" s="6" t="n">
        <v>65.0</v>
      </c>
      <c r="H82" s="5" t="s">
        <v>323</v>
      </c>
      <c r="I82" s="3" t="s">
        <v>173</v>
      </c>
      <c r="J82" s="11" t="s">
        <v>54</v>
      </c>
      <c r="K82" s="17" t="n">
        <v>10.416</v>
      </c>
      <c r="L82" s="17" t="n">
        <v>10.416</v>
      </c>
      <c r="M82" s="3" t="s">
        <v>21</v>
      </c>
      <c r="N82" s="3" t="s">
        <v>37</v>
      </c>
      <c r="O82" s="3" t="s">
        <v>38</v>
      </c>
      <c r="P82" s="12" t="str">
        <f>HYPERLINK("http://slimages.macys.com/is/image/MCY/2030097 ")</f>
      </c>
    </row>
    <row r="83" spans="1:16" ht="24.75">
      <c r="A83" s="9" t="s">
        <v>324</v>
      </c>
      <c r="B83" s="3" t="s">
        <v>325</v>
      </c>
      <c r="C83" s="5" t="n">
        <v>1.0</v>
      </c>
      <c r="D83" s="6" t="n">
        <v>23.99</v>
      </c>
      <c r="E83" s="6" t="n">
        <v>23.99</v>
      </c>
      <c r="F83" s="10" t="n">
        <v>49.98</v>
      </c>
      <c r="G83" s="6" t="n">
        <v>49.98</v>
      </c>
      <c r="H83" s="5" t="s">
        <v>326</v>
      </c>
      <c r="I83" s="3" t="s">
        <v>47</v>
      </c>
      <c r="J83" s="11" t="s">
        <v>1033</v>
      </c>
      <c r="K83" s="17" t="n">
        <v>10.411660000000001</v>
      </c>
      <c r="L83" s="17" t="n">
        <v>10.411660000000001</v>
      </c>
      <c r="M83" s="3" t="s">
        <v>21</v>
      </c>
      <c r="N83" s="3" t="s">
        <v>191</v>
      </c>
      <c r="O83" s="3" t="s">
        <v>282</v>
      </c>
      <c r="P83" s="12" t="str">
        <f>HYPERLINK("http://slimages.macys.com/is/image/MCY/2075444 ")</f>
      </c>
    </row>
    <row r="84" spans="1:16" ht="24.75">
      <c r="A84" s="9" t="s">
        <v>327</v>
      </c>
      <c r="B84" s="3" t="s">
        <v>328</v>
      </c>
      <c r="C84" s="5" t="n">
        <v>1.0</v>
      </c>
      <c r="D84" s="6" t="n">
        <v>23.75</v>
      </c>
      <c r="E84" s="6" t="n">
        <v>23.75</v>
      </c>
      <c r="F84" s="10" t="n">
        <v>49.5</v>
      </c>
      <c r="G84" s="6" t="n">
        <v>49.5</v>
      </c>
      <c r="H84" s="5" t="s">
        <v>329</v>
      </c>
      <c r="I84" s="3" t="s">
        <v>330</v>
      </c>
      <c r="J84" s="11" t="s">
        <v>331</v>
      </c>
      <c r="K84" s="17" t="n">
        <v>10.307500000000001</v>
      </c>
      <c r="L84" s="17" t="n">
        <v>10.307500000000001</v>
      </c>
      <c r="M84" s="3" t="s">
        <v>21</v>
      </c>
      <c r="N84" s="3" t="s">
        <v>231</v>
      </c>
      <c r="O84" s="3" t="s">
        <v>332</v>
      </c>
      <c r="P84" s="12" t="str">
        <f>HYPERLINK("http://slimages.macys.com/is/image/MCY/1348213 ")</f>
      </c>
    </row>
    <row r="85" spans="1:16" ht="24.75">
      <c r="A85" s="9" t="s">
        <v>333</v>
      </c>
      <c r="B85" s="3" t="s">
        <v>334</v>
      </c>
      <c r="C85" s="5" t="n">
        <v>1.0</v>
      </c>
      <c r="D85" s="6" t="n">
        <v>23.49</v>
      </c>
      <c r="E85" s="6" t="n">
        <v>23.49</v>
      </c>
      <c r="F85" s="10" t="n">
        <v>49.98</v>
      </c>
      <c r="G85" s="6" t="n">
        <v>49.98</v>
      </c>
      <c r="H85" s="5" t="s">
        <v>335</v>
      </c>
      <c r="I85" s="3" t="s">
        <v>41</v>
      </c>
      <c r="J85" s="11" t="s">
        <v>336</v>
      </c>
      <c r="K85" s="17" t="n">
        <v>10.19466</v>
      </c>
      <c r="L85" s="17" t="n">
        <v>10.19466</v>
      </c>
      <c r="M85" s="3" t="s">
        <v>21</v>
      </c>
      <c r="N85" s="3" t="s">
        <v>191</v>
      </c>
      <c r="O85" s="3" t="s">
        <v>282</v>
      </c>
      <c r="P85" s="12" t="str">
        <f>HYPERLINK("http://slimages.macys.com/is/image/MCY/1892773 ")</f>
      </c>
    </row>
    <row r="86" spans="1:16" ht="24.75">
      <c r="A86" s="9" t="s">
        <v>337</v>
      </c>
      <c r="B86" s="3" t="s">
        <v>338</v>
      </c>
      <c r="C86" s="5" t="n">
        <v>1.0</v>
      </c>
      <c r="D86" s="6" t="n">
        <v>23.0</v>
      </c>
      <c r="E86" s="6" t="n">
        <v>23.0</v>
      </c>
      <c r="F86" s="10" t="n">
        <v>39.99</v>
      </c>
      <c r="G86" s="6" t="n">
        <v>39.99</v>
      </c>
      <c r="H86" s="5" t="s">
        <v>339</v>
      </c>
      <c r="I86" s="3" t="s">
        <v>35</v>
      </c>
      <c r="J86" s="11" t="s">
        <v>340</v>
      </c>
      <c r="K86" s="17" t="n">
        <v>9.982000000000001</v>
      </c>
      <c r="L86" s="17" t="n">
        <v>9.982000000000001</v>
      </c>
      <c r="M86" s="3" t="s">
        <v>21</v>
      </c>
      <c r="N86" s="3" t="s">
        <v>77</v>
      </c>
      <c r="O86" s="3" t="s">
        <v>341</v>
      </c>
      <c r="P86" s="12" t="str">
        <f>HYPERLINK("http://slimages.macys.com/is/image/MCY/2328103 ")</f>
      </c>
    </row>
    <row r="87" spans="1:16" ht="24.75">
      <c r="A87" s="9" t="s">
        <v>342</v>
      </c>
      <c r="B87" s="3" t="s">
        <v>343</v>
      </c>
      <c r="C87" s="5" t="n">
        <v>1.0</v>
      </c>
      <c r="D87" s="6" t="n">
        <v>23.0</v>
      </c>
      <c r="E87" s="6" t="n">
        <v>23.0</v>
      </c>
      <c r="F87" s="10" t="n">
        <v>55.0</v>
      </c>
      <c r="G87" s="6" t="n">
        <v>55.0</v>
      </c>
      <c r="H87" s="5" t="s">
        <v>344</v>
      </c>
      <c r="I87" s="3" t="s">
        <v>147</v>
      </c>
      <c r="J87" s="11" t="s">
        <v>48</v>
      </c>
      <c r="K87" s="17" t="n">
        <v>9.982000000000001</v>
      </c>
      <c r="L87" s="17" t="n">
        <v>9.982000000000001</v>
      </c>
      <c r="M87" s="3" t="s">
        <v>21</v>
      </c>
      <c r="N87" s="3" t="s">
        <v>202</v>
      </c>
      <c r="O87" s="3" t="s">
        <v>203</v>
      </c>
      <c r="P87" s="12" t="str">
        <f>HYPERLINK("http://slimages.macys.com/is/image/MCY/1529166 ")</f>
      </c>
    </row>
    <row r="88" spans="1:16" ht="24.75">
      <c r="A88" s="9" t="s">
        <v>345</v>
      </c>
      <c r="B88" s="3" t="s">
        <v>346</v>
      </c>
      <c r="C88" s="5" t="n">
        <v>1.0</v>
      </c>
      <c r="D88" s="6" t="n">
        <v>22.5</v>
      </c>
      <c r="E88" s="6" t="n">
        <v>22.5</v>
      </c>
      <c r="F88" s="10" t="n">
        <v>44.99</v>
      </c>
      <c r="G88" s="6" t="n">
        <v>44.99</v>
      </c>
      <c r="H88" s="5" t="s">
        <v>347</v>
      </c>
      <c r="I88" s="3" t="s">
        <v>69</v>
      </c>
      <c r="J88" s="11" t="s">
        <v>266</v>
      </c>
      <c r="K88" s="17" t="n">
        <v>9.765</v>
      </c>
      <c r="L88" s="17" t="n">
        <v>9.765</v>
      </c>
      <c r="M88" s="3" t="s">
        <v>21</v>
      </c>
      <c r="N88" s="3" t="s">
        <v>348</v>
      </c>
      <c r="O88" s="3" t="s">
        <v>349</v>
      </c>
      <c r="P88" s="12" t="str">
        <f>HYPERLINK("http://slimages.macys.com/is/image/MCY/1512410 ")</f>
      </c>
    </row>
    <row r="89" spans="1:16" ht="24.75">
      <c r="A89" s="9" t="s">
        <v>350</v>
      </c>
      <c r="B89" s="3" t="s">
        <v>351</v>
      </c>
      <c r="C89" s="5" t="n">
        <v>1.0</v>
      </c>
      <c r="D89" s="6" t="n">
        <v>22.5</v>
      </c>
      <c r="E89" s="6" t="n">
        <v>22.5</v>
      </c>
      <c r="F89" s="10" t="n">
        <v>49.99</v>
      </c>
      <c r="G89" s="6" t="n">
        <v>49.99</v>
      </c>
      <c r="H89" s="5" t="s">
        <v>352</v>
      </c>
      <c r="I89" s="3" t="s">
        <v>353</v>
      </c>
      <c r="J89" s="11" t="s">
        <v>1033</v>
      </c>
      <c r="K89" s="17" t="n">
        <v>9.765</v>
      </c>
      <c r="L89" s="17" t="n">
        <v>9.765</v>
      </c>
      <c r="M89" s="3" t="s">
        <v>21</v>
      </c>
      <c r="N89" s="3" t="s">
        <v>77</v>
      </c>
      <c r="O89" s="3" t="s">
        <v>78</v>
      </c>
      <c r="P89" s="12" t="str">
        <f>HYPERLINK("http://slimages.macys.com/is/image/MCY/2237326 ")</f>
      </c>
    </row>
    <row r="90" spans="1:16" ht="24.75">
      <c r="A90" s="9" t="s">
        <v>354</v>
      </c>
      <c r="B90" s="3" t="s">
        <v>355</v>
      </c>
      <c r="C90" s="5" t="n">
        <v>1.0</v>
      </c>
      <c r="D90" s="6" t="n">
        <v>22.5</v>
      </c>
      <c r="E90" s="6" t="n">
        <v>22.5</v>
      </c>
      <c r="F90" s="10" t="n">
        <v>44.99</v>
      </c>
      <c r="G90" s="6" t="n">
        <v>44.99</v>
      </c>
      <c r="H90" s="5" t="s">
        <v>347</v>
      </c>
      <c r="I90" s="3" t="s">
        <v>69</v>
      </c>
      <c r="J90" s="11" t="s">
        <v>356</v>
      </c>
      <c r="K90" s="17" t="n">
        <v>9.765</v>
      </c>
      <c r="L90" s="17" t="n">
        <v>9.765</v>
      </c>
      <c r="M90" s="3" t="s">
        <v>21</v>
      </c>
      <c r="N90" s="3" t="s">
        <v>348</v>
      </c>
      <c r="O90" s="3" t="s">
        <v>349</v>
      </c>
      <c r="P90" s="12" t="str">
        <f>HYPERLINK("http://slimages.macys.com/is/image/MCY/1512410 ")</f>
      </c>
    </row>
    <row r="91" spans="1:16" ht="24.75">
      <c r="A91" s="9" t="s">
        <v>357</v>
      </c>
      <c r="B91" s="3" t="s">
        <v>358</v>
      </c>
      <c r="C91" s="5" t="n">
        <v>1.0</v>
      </c>
      <c r="D91" s="6" t="n">
        <v>22.5</v>
      </c>
      <c r="E91" s="6" t="n">
        <v>22.5</v>
      </c>
      <c r="F91" s="10" t="n">
        <v>44.99</v>
      </c>
      <c r="G91" s="6" t="n">
        <v>44.99</v>
      </c>
      <c r="H91" s="5" t="s">
        <v>347</v>
      </c>
      <c r="I91" s="3" t="s">
        <v>69</v>
      </c>
      <c r="J91" s="11" t="s">
        <v>359</v>
      </c>
      <c r="K91" s="17" t="n">
        <v>9.765</v>
      </c>
      <c r="L91" s="17" t="n">
        <v>9.765</v>
      </c>
      <c r="M91" s="3" t="s">
        <v>21</v>
      </c>
      <c r="N91" s="3" t="s">
        <v>348</v>
      </c>
      <c r="O91" s="3" t="s">
        <v>349</v>
      </c>
      <c r="P91" s="12" t="str">
        <f>HYPERLINK("http://slimages.macys.com/is/image/MCY/1512410 ")</f>
      </c>
    </row>
    <row r="92" spans="1:16" ht="24.75">
      <c r="A92" s="9" t="s">
        <v>360</v>
      </c>
      <c r="B92" s="3" t="s">
        <v>361</v>
      </c>
      <c r="C92" s="5" t="n">
        <v>1.0</v>
      </c>
      <c r="D92" s="6" t="n">
        <v>22.5</v>
      </c>
      <c r="E92" s="6" t="n">
        <v>22.5</v>
      </c>
      <c r="F92" s="10" t="n">
        <v>44.99</v>
      </c>
      <c r="G92" s="6" t="n">
        <v>44.99</v>
      </c>
      <c r="H92" s="5" t="s">
        <v>347</v>
      </c>
      <c r="I92" s="3" t="s">
        <v>69</v>
      </c>
      <c r="J92" s="11" t="s">
        <v>336</v>
      </c>
      <c r="K92" s="17" t="n">
        <v>9.765</v>
      </c>
      <c r="L92" s="17" t="n">
        <v>9.765</v>
      </c>
      <c r="M92" s="3" t="s">
        <v>21</v>
      </c>
      <c r="N92" s="3" t="s">
        <v>348</v>
      </c>
      <c r="O92" s="3" t="s">
        <v>349</v>
      </c>
      <c r="P92" s="12" t="str">
        <f>HYPERLINK("http://slimages.macys.com/is/image/MCY/1512410 ")</f>
      </c>
    </row>
    <row r="93" spans="1:16" ht="24.75">
      <c r="A93" s="9" t="s">
        <v>362</v>
      </c>
      <c r="B93" s="3" t="s">
        <v>363</v>
      </c>
      <c r="C93" s="5" t="n">
        <v>1.0</v>
      </c>
      <c r="D93" s="6" t="n">
        <v>22.5</v>
      </c>
      <c r="E93" s="6" t="n">
        <v>22.5</v>
      </c>
      <c r="F93" s="10" t="n">
        <v>49.99</v>
      </c>
      <c r="G93" s="6" t="n">
        <v>49.99</v>
      </c>
      <c r="H93" s="5" t="s">
        <v>352</v>
      </c>
      <c r="I93" s="3" t="s">
        <v>353</v>
      </c>
      <c r="J93" s="11" t="s">
        <v>1033</v>
      </c>
      <c r="K93" s="17" t="n">
        <v>9.765</v>
      </c>
      <c r="L93" s="17" t="n">
        <v>9.765</v>
      </c>
      <c r="M93" s="3" t="s">
        <v>21</v>
      </c>
      <c r="N93" s="3" t="s">
        <v>77</v>
      </c>
      <c r="O93" s="3" t="s">
        <v>78</v>
      </c>
      <c r="P93" s="12" t="str">
        <f>HYPERLINK("http://slimages.macys.com/is/image/MCY/2237326 ")</f>
      </c>
    </row>
    <row r="94" spans="1:16" ht="24.75">
      <c r="A94" s="9" t="s">
        <v>364</v>
      </c>
      <c r="B94" s="3" t="s">
        <v>365</v>
      </c>
      <c r="C94" s="5" t="n">
        <v>2.0</v>
      </c>
      <c r="D94" s="6" t="n">
        <v>22.5</v>
      </c>
      <c r="E94" s="6" t="n">
        <v>45.0</v>
      </c>
      <c r="F94" s="10" t="n">
        <v>44.99</v>
      </c>
      <c r="G94" s="6" t="n">
        <v>89.98</v>
      </c>
      <c r="H94" s="5" t="s">
        <v>366</v>
      </c>
      <c r="I94" s="3" t="s">
        <v>367</v>
      </c>
      <c r="J94" s="11" t="s">
        <v>368</v>
      </c>
      <c r="K94" s="17" t="n">
        <v>9.765</v>
      </c>
      <c r="L94" s="17" t="n">
        <v>19.53</v>
      </c>
      <c r="M94" s="3" t="s">
        <v>21</v>
      </c>
      <c r="N94" s="3" t="s">
        <v>348</v>
      </c>
      <c r="O94" s="3" t="s">
        <v>349</v>
      </c>
      <c r="P94" s="12" t="str">
        <f>HYPERLINK("http://slimages.macys.com/is/image/MCY/1475555 ")</f>
      </c>
    </row>
    <row r="95" spans="1:16" ht="24.75">
      <c r="A95" s="9" t="s">
        <v>369</v>
      </c>
      <c r="B95" s="3" t="s">
        <v>370</v>
      </c>
      <c r="C95" s="5" t="n">
        <v>1.0</v>
      </c>
      <c r="D95" s="6" t="n">
        <v>22.5</v>
      </c>
      <c r="E95" s="6" t="n">
        <v>22.5</v>
      </c>
      <c r="F95" s="10" t="n">
        <v>44.99</v>
      </c>
      <c r="G95" s="6" t="n">
        <v>44.99</v>
      </c>
      <c r="H95" s="5" t="s">
        <v>366</v>
      </c>
      <c r="I95" s="3" t="s">
        <v>367</v>
      </c>
      <c r="J95" s="11" t="s">
        <v>371</v>
      </c>
      <c r="K95" s="17" t="n">
        <v>9.765</v>
      </c>
      <c r="L95" s="17" t="n">
        <v>9.765</v>
      </c>
      <c r="M95" s="3" t="s">
        <v>21</v>
      </c>
      <c r="N95" s="3" t="s">
        <v>348</v>
      </c>
      <c r="O95" s="3" t="s">
        <v>349</v>
      </c>
      <c r="P95" s="12" t="str">
        <f>HYPERLINK("http://slimages.macys.com/is/image/MCY/1475555 ")</f>
      </c>
    </row>
    <row r="96" spans="1:16" ht="24.75">
      <c r="A96" s="9" t="s">
        <v>372</v>
      </c>
      <c r="B96" s="3" t="s">
        <v>373</v>
      </c>
      <c r="C96" s="5" t="n">
        <v>1.0</v>
      </c>
      <c r="D96" s="6" t="n">
        <v>22.5</v>
      </c>
      <c r="E96" s="6" t="n">
        <v>22.5</v>
      </c>
      <c r="F96" s="10" t="n">
        <v>44.99</v>
      </c>
      <c r="G96" s="6" t="n">
        <v>44.99</v>
      </c>
      <c r="H96" s="5" t="s">
        <v>366</v>
      </c>
      <c r="I96" s="3" t="s">
        <v>367</v>
      </c>
      <c r="J96" s="11" t="s">
        <v>295</v>
      </c>
      <c r="K96" s="17" t="n">
        <v>9.765</v>
      </c>
      <c r="L96" s="17" t="n">
        <v>9.765</v>
      </c>
      <c r="M96" s="3" t="s">
        <v>21</v>
      </c>
      <c r="N96" s="3" t="s">
        <v>348</v>
      </c>
      <c r="O96" s="3" t="s">
        <v>349</v>
      </c>
      <c r="P96" s="12" t="str">
        <f>HYPERLINK("http://slimages.macys.com/is/image/MCY/1475555 ")</f>
      </c>
    </row>
    <row r="97" spans="1:16" ht="24.75">
      <c r="A97" s="9" t="s">
        <v>374</v>
      </c>
      <c r="B97" s="3" t="s">
        <v>375</v>
      </c>
      <c r="C97" s="5" t="n">
        <v>2.0</v>
      </c>
      <c r="D97" s="6" t="n">
        <v>22.5</v>
      </c>
      <c r="E97" s="6" t="n">
        <v>45.0</v>
      </c>
      <c r="F97" s="10" t="n">
        <v>44.99</v>
      </c>
      <c r="G97" s="6" t="n">
        <v>89.98</v>
      </c>
      <c r="H97" s="5" t="s">
        <v>347</v>
      </c>
      <c r="I97" s="3" t="s">
        <v>69</v>
      </c>
      <c r="J97" s="11" t="s">
        <v>289</v>
      </c>
      <c r="K97" s="17" t="n">
        <v>9.765</v>
      </c>
      <c r="L97" s="17" t="n">
        <v>19.53</v>
      </c>
      <c r="M97" s="3" t="s">
        <v>21</v>
      </c>
      <c r="N97" s="3" t="s">
        <v>348</v>
      </c>
      <c r="O97" s="3" t="s">
        <v>349</v>
      </c>
      <c r="P97" s="12" t="str">
        <f>HYPERLINK("http://slimages.macys.com/is/image/MCY/1512410 ")</f>
      </c>
    </row>
    <row r="98" spans="1:16" ht="24.75">
      <c r="A98" s="9" t="s">
        <v>376</v>
      </c>
      <c r="B98" s="3" t="s">
        <v>377</v>
      </c>
      <c r="C98" s="5" t="n">
        <v>1.0</v>
      </c>
      <c r="D98" s="6" t="n">
        <v>22.5</v>
      </c>
      <c r="E98" s="6" t="n">
        <v>22.5</v>
      </c>
      <c r="F98" s="10" t="n">
        <v>44.99</v>
      </c>
      <c r="G98" s="6" t="n">
        <v>44.99</v>
      </c>
      <c r="H98" s="5" t="s">
        <v>366</v>
      </c>
      <c r="I98" s="3" t="s">
        <v>367</v>
      </c>
      <c r="J98" s="11" t="s">
        <v>359</v>
      </c>
      <c r="K98" s="17" t="n">
        <v>9.765</v>
      </c>
      <c r="L98" s="17" t="n">
        <v>9.765</v>
      </c>
      <c r="M98" s="3" t="s">
        <v>21</v>
      </c>
      <c r="N98" s="3" t="s">
        <v>348</v>
      </c>
      <c r="O98" s="3" t="s">
        <v>349</v>
      </c>
      <c r="P98" s="12" t="str">
        <f>HYPERLINK("http://slimages.macys.com/is/image/MCY/1475555 ")</f>
      </c>
    </row>
    <row r="99" spans="1:16" ht="24.75">
      <c r="A99" s="9" t="s">
        <v>378</v>
      </c>
      <c r="B99" s="3" t="s">
        <v>379</v>
      </c>
      <c r="C99" s="5" t="n">
        <v>1.0</v>
      </c>
      <c r="D99" s="6" t="n">
        <v>22.5</v>
      </c>
      <c r="E99" s="6" t="n">
        <v>22.5</v>
      </c>
      <c r="F99" s="10" t="n">
        <v>44.99</v>
      </c>
      <c r="G99" s="6" t="n">
        <v>44.99</v>
      </c>
      <c r="H99" s="5" t="s">
        <v>366</v>
      </c>
      <c r="I99" s="3" t="s">
        <v>367</v>
      </c>
      <c r="J99" s="11" t="s">
        <v>336</v>
      </c>
      <c r="K99" s="17" t="n">
        <v>9.765</v>
      </c>
      <c r="L99" s="17" t="n">
        <v>9.765</v>
      </c>
      <c r="M99" s="3" t="s">
        <v>21</v>
      </c>
      <c r="N99" s="3" t="s">
        <v>348</v>
      </c>
      <c r="O99" s="3" t="s">
        <v>349</v>
      </c>
      <c r="P99" s="12" t="str">
        <f>HYPERLINK("http://slimages.macys.com/is/image/MCY/1475555 ")</f>
      </c>
    </row>
    <row r="100" spans="1:16" ht="24.75">
      <c r="A100" s="9" t="s">
        <v>380</v>
      </c>
      <c r="B100" s="3" t="s">
        <v>381</v>
      </c>
      <c r="C100" s="5" t="n">
        <v>1.0</v>
      </c>
      <c r="D100" s="6" t="n">
        <v>22.0</v>
      </c>
      <c r="E100" s="6" t="n">
        <v>22.0</v>
      </c>
      <c r="F100" s="10" t="n">
        <v>59.5</v>
      </c>
      <c r="G100" s="6" t="n">
        <v>59.5</v>
      </c>
      <c r="H100" s="5" t="s">
        <v>382</v>
      </c>
      <c r="I100" s="3" t="s">
        <v>41</v>
      </c>
      <c r="J100" s="11" t="s">
        <v>383</v>
      </c>
      <c r="K100" s="17" t="n">
        <v>9.548</v>
      </c>
      <c r="L100" s="17" t="n">
        <v>9.548</v>
      </c>
      <c r="M100" s="3" t="s">
        <v>21</v>
      </c>
      <c r="N100" s="3" t="s">
        <v>37</v>
      </c>
      <c r="O100" s="3" t="s">
        <v>38</v>
      </c>
      <c r="P100" s="12" t="str">
        <f>HYPERLINK("http://slimages.macys.com/is/image/MCY/2128771 ")</f>
      </c>
    </row>
    <row r="101" spans="1:16" ht="24.75">
      <c r="A101" s="9" t="s">
        <v>384</v>
      </c>
      <c r="B101" s="3" t="s">
        <v>385</v>
      </c>
      <c r="C101" s="5" t="n">
        <v>1.0</v>
      </c>
      <c r="D101" s="6" t="n">
        <v>22.0</v>
      </c>
      <c r="E101" s="6" t="n">
        <v>22.0</v>
      </c>
      <c r="F101" s="10" t="n">
        <v>65.0</v>
      </c>
      <c r="G101" s="6" t="n">
        <v>65.0</v>
      </c>
      <c r="H101" s="5" t="s">
        <v>386</v>
      </c>
      <c r="I101" s="3" t="s">
        <v>387</v>
      </c>
      <c r="J101" s="11" t="s">
        <v>388</v>
      </c>
      <c r="K101" s="17" t="n">
        <v>9.548</v>
      </c>
      <c r="L101" s="17" t="n">
        <v>9.548</v>
      </c>
      <c r="M101" s="3" t="s">
        <v>21</v>
      </c>
      <c r="N101" s="3" t="s">
        <v>217</v>
      </c>
      <c r="O101" s="3" t="s">
        <v>218</v>
      </c>
      <c r="P101" s="12" t="str">
        <f>HYPERLINK("http://slimages.macys.com/is/image/MCY/1839302 ")</f>
      </c>
    </row>
    <row r="102" spans="1:16" ht="24.75">
      <c r="A102" s="9" t="s">
        <v>389</v>
      </c>
      <c r="B102" s="3" t="s">
        <v>390</v>
      </c>
      <c r="C102" s="5" t="n">
        <v>1.0</v>
      </c>
      <c r="D102" s="6" t="n">
        <v>21.5</v>
      </c>
      <c r="E102" s="6" t="n">
        <v>21.5</v>
      </c>
      <c r="F102" s="10" t="n">
        <v>59.5</v>
      </c>
      <c r="G102" s="6" t="n">
        <v>59.5</v>
      </c>
      <c r="H102" s="5" t="s">
        <v>391</v>
      </c>
      <c r="I102" s="3" t="s">
        <v>35</v>
      </c>
      <c r="J102" s="11" t="s">
        <v>48</v>
      </c>
      <c r="K102" s="17" t="n">
        <v>9.331</v>
      </c>
      <c r="L102" s="17" t="n">
        <v>9.331</v>
      </c>
      <c r="M102" s="3" t="s">
        <v>21</v>
      </c>
      <c r="N102" s="3" t="s">
        <v>248</v>
      </c>
      <c r="O102" s="3" t="s">
        <v>249</v>
      </c>
      <c r="P102" s="12" t="str">
        <f>HYPERLINK("http://slimages.macys.com/is/image/MCY/2211027 ")</f>
      </c>
    </row>
    <row r="103" spans="1:16" ht="24.75">
      <c r="A103" s="9" t="s">
        <v>392</v>
      </c>
      <c r="B103" s="3" t="s">
        <v>393</v>
      </c>
      <c r="C103" s="5" t="n">
        <v>1.0</v>
      </c>
      <c r="D103" s="6" t="n">
        <v>20.83</v>
      </c>
      <c r="E103" s="6" t="n">
        <v>20.83</v>
      </c>
      <c r="F103" s="10" t="n">
        <v>59.5</v>
      </c>
      <c r="G103" s="6" t="n">
        <v>59.5</v>
      </c>
      <c r="H103" s="5" t="s">
        <v>394</v>
      </c>
      <c r="I103" s="3" t="s">
        <v>69</v>
      </c>
      <c r="J103" s="11" t="s">
        <v>48</v>
      </c>
      <c r="K103" s="17" t="n">
        <v>9.04022</v>
      </c>
      <c r="L103" s="17" t="n">
        <v>9.04022</v>
      </c>
      <c r="M103" s="3" t="s">
        <v>21</v>
      </c>
      <c r="N103" s="3" t="s">
        <v>191</v>
      </c>
      <c r="O103" s="3" t="s">
        <v>192</v>
      </c>
      <c r="P103" s="12" t="str">
        <f>HYPERLINK("http://slimages.macys.com/is/image/MCY/1956656 ")</f>
      </c>
    </row>
    <row r="104" spans="1:16" ht="24.75">
      <c r="A104" s="9" t="s">
        <v>395</v>
      </c>
      <c r="B104" s="3" t="s">
        <v>396</v>
      </c>
      <c r="C104" s="5" t="n">
        <v>1.0</v>
      </c>
      <c r="D104" s="6" t="n">
        <v>20.83</v>
      </c>
      <c r="E104" s="6" t="n">
        <v>20.83</v>
      </c>
      <c r="F104" s="10" t="n">
        <v>59.5</v>
      </c>
      <c r="G104" s="6" t="n">
        <v>59.5</v>
      </c>
      <c r="H104" s="5" t="s">
        <v>397</v>
      </c>
      <c r="I104" s="3" t="s">
        <v>173</v>
      </c>
      <c r="J104" s="11" t="s">
        <v>114</v>
      </c>
      <c r="K104" s="17" t="n">
        <v>9.04022</v>
      </c>
      <c r="L104" s="17" t="n">
        <v>9.04022</v>
      </c>
      <c r="M104" s="3" t="s">
        <v>21</v>
      </c>
      <c r="N104" s="3" t="s">
        <v>191</v>
      </c>
      <c r="O104" s="3" t="s">
        <v>192</v>
      </c>
      <c r="P104" s="12" t="str">
        <f>HYPERLINK("http://slimages.macys.com/is/image/MCY/2117070 ")</f>
      </c>
    </row>
    <row r="105" spans="1:16">
      <c r="A105" s="9" t="s">
        <v>398</v>
      </c>
      <c r="B105" s="3" t="s">
        <v>399</v>
      </c>
      <c r="C105" s="5" t="n">
        <v>1.0</v>
      </c>
      <c r="D105" s="6" t="n">
        <v>20.83</v>
      </c>
      <c r="E105" s="6" t="n">
        <v>20.83</v>
      </c>
      <c r="F105" s="10" t="n">
        <v>59.5</v>
      </c>
      <c r="G105" s="6" t="n">
        <v>59.5</v>
      </c>
      <c r="H105" s="5" t="s">
        <v>397</v>
      </c>
      <c r="I105" s="3" t="s">
        <v>173</v>
      </c>
      <c r="J105" s="11" t="s">
        <v>356</v>
      </c>
      <c r="K105" s="17" t="n">
        <v>9.04022</v>
      </c>
      <c r="L105" s="17" t="n">
        <v>9.04022</v>
      </c>
      <c r="M105" s="3" t="s">
        <v>21</v>
      </c>
      <c r="N105" s="3" t="s">
        <v>191</v>
      </c>
      <c r="O105" s="3" t="s">
        <v>192</v>
      </c>
      <c r="P105" s="12" t="str">
        <f>HYPERLINK("http://slimages.macys.com/is/image/MCY/2117070 ")</f>
      </c>
    </row>
    <row r="106" spans="1:16" ht="24.75">
      <c r="A106" s="9" t="s">
        <v>400</v>
      </c>
      <c r="B106" s="3" t="s">
        <v>401</v>
      </c>
      <c r="C106" s="5" t="n">
        <v>1.0</v>
      </c>
      <c r="D106" s="6" t="n">
        <v>20.75</v>
      </c>
      <c r="E106" s="6" t="n">
        <v>20.75</v>
      </c>
      <c r="F106" s="10" t="n">
        <v>39.98</v>
      </c>
      <c r="G106" s="6" t="n">
        <v>39.98</v>
      </c>
      <c r="H106" s="5" t="s">
        <v>402</v>
      </c>
      <c r="I106" s="3" t="s">
        <v>41</v>
      </c>
      <c r="J106" s="11" t="s">
        <v>1033</v>
      </c>
      <c r="K106" s="17" t="n">
        <v>9.0055</v>
      </c>
      <c r="L106" s="17" t="n">
        <v>9.0055</v>
      </c>
      <c r="M106" s="3" t="s">
        <v>21</v>
      </c>
      <c r="N106" s="3" t="s">
        <v>77</v>
      </c>
      <c r="O106" s="3" t="s">
        <v>403</v>
      </c>
      <c r="P106" s="12" t="str">
        <f>HYPERLINK("http://slimages.macys.com/is/image/MCY/2153156 ")</f>
      </c>
    </row>
    <row r="107" spans="1:16" ht="24.75">
      <c r="A107" s="9" t="s">
        <v>404</v>
      </c>
      <c r="B107" s="3" t="s">
        <v>405</v>
      </c>
      <c r="C107" s="5" t="n">
        <v>1.0</v>
      </c>
      <c r="D107" s="6" t="n">
        <v>20.5</v>
      </c>
      <c r="E107" s="6" t="n">
        <v>20.5</v>
      </c>
      <c r="F107" s="10" t="n">
        <v>36.99</v>
      </c>
      <c r="G107" s="6" t="n">
        <v>36.99</v>
      </c>
      <c r="H107" s="5" t="n">
        <v>4.99250015E8</v>
      </c>
      <c r="I107" s="3" t="s">
        <v>265</v>
      </c>
      <c r="J107" s="11" t="s">
        <v>336</v>
      </c>
      <c r="K107" s="17" t="n">
        <v>8.897</v>
      </c>
      <c r="L107" s="17" t="n">
        <v>8.897</v>
      </c>
      <c r="M107" s="3" t="s">
        <v>21</v>
      </c>
      <c r="N107" s="3" t="s">
        <v>290</v>
      </c>
      <c r="O107" s="3" t="s">
        <v>291</v>
      </c>
      <c r="P107" s="12" t="str">
        <f>HYPERLINK("http://slimages.macys.com/is/image/MCY/1309187 ")</f>
      </c>
    </row>
    <row r="108" spans="1:16" ht="24.75">
      <c r="A108" s="9" t="s">
        <v>406</v>
      </c>
      <c r="B108" s="3" t="s">
        <v>407</v>
      </c>
      <c r="C108" s="5" t="n">
        <v>1.0</v>
      </c>
      <c r="D108" s="6" t="n">
        <v>20.35</v>
      </c>
      <c r="E108" s="6" t="n">
        <v>20.35</v>
      </c>
      <c r="F108" s="10" t="n">
        <v>44.99</v>
      </c>
      <c r="G108" s="6" t="n">
        <v>44.99</v>
      </c>
      <c r="H108" s="5" t="n">
        <v>7840390.0</v>
      </c>
      <c r="I108" s="3" t="s">
        <v>47</v>
      </c>
      <c r="J108" s="11" t="s">
        <v>51</v>
      </c>
      <c r="K108" s="17" t="n">
        <v>8.831900000000001</v>
      </c>
      <c r="L108" s="17" t="n">
        <v>8.831900000000001</v>
      </c>
      <c r="M108" s="3" t="s">
        <v>21</v>
      </c>
      <c r="N108" s="3" t="s">
        <v>408</v>
      </c>
      <c r="O108" s="3" t="s">
        <v>409</v>
      </c>
      <c r="P108" s="12" t="str">
        <f>HYPERLINK("http://slimages.macys.com/is/image/MCY/2051573 ")</f>
      </c>
    </row>
    <row r="109" spans="1:16" ht="24.75">
      <c r="A109" s="9" t="s">
        <v>410</v>
      </c>
      <c r="B109" s="3" t="s">
        <v>411</v>
      </c>
      <c r="C109" s="5" t="n">
        <v>1.0</v>
      </c>
      <c r="D109" s="6" t="n">
        <v>20.0</v>
      </c>
      <c r="E109" s="6" t="n">
        <v>20.0</v>
      </c>
      <c r="F109" s="10" t="n">
        <v>39.98</v>
      </c>
      <c r="G109" s="6" t="n">
        <v>39.98</v>
      </c>
      <c r="H109" s="5" t="s">
        <v>412</v>
      </c>
      <c r="I109" s="3" t="s">
        <v>265</v>
      </c>
      <c r="J109" s="11" t="s">
        <v>368</v>
      </c>
      <c r="K109" s="17" t="n">
        <v>8.68</v>
      </c>
      <c r="L109" s="17" t="n">
        <v>8.68</v>
      </c>
      <c r="M109" s="3" t="s">
        <v>21</v>
      </c>
      <c r="N109" s="3" t="s">
        <v>413</v>
      </c>
      <c r="O109" s="3" t="s">
        <v>403</v>
      </c>
      <c r="P109" s="12" t="str">
        <f>HYPERLINK("http://slimages.macys.com/is/image/MCY/1819426 ")</f>
      </c>
    </row>
    <row r="110" spans="1:16" ht="24.75">
      <c r="A110" s="9" t="s">
        <v>414</v>
      </c>
      <c r="B110" s="3" t="s">
        <v>415</v>
      </c>
      <c r="C110" s="5" t="n">
        <v>1.0</v>
      </c>
      <c r="D110" s="6" t="n">
        <v>20.0</v>
      </c>
      <c r="E110" s="6" t="n">
        <v>20.0</v>
      </c>
      <c r="F110" s="10" t="n">
        <v>49.5</v>
      </c>
      <c r="G110" s="6" t="n">
        <v>49.5</v>
      </c>
      <c r="H110" s="5" t="s">
        <v>416</v>
      </c>
      <c r="I110" s="3" t="s">
        <v>75</v>
      </c>
      <c r="J110" s="11" t="s">
        <v>51</v>
      </c>
      <c r="K110" s="17" t="n">
        <v>8.68</v>
      </c>
      <c r="L110" s="17" t="n">
        <v>8.68</v>
      </c>
      <c r="M110" s="3" t="s">
        <v>21</v>
      </c>
      <c r="N110" s="3" t="s">
        <v>248</v>
      </c>
      <c r="O110" s="3" t="s">
        <v>249</v>
      </c>
      <c r="P110" s="12" t="str">
        <f>HYPERLINK("http://slimages.macys.com/is/image/MCY/1962126 ")</f>
      </c>
    </row>
    <row r="111" spans="1:16" ht="24.75">
      <c r="A111" s="9" t="s">
        <v>417</v>
      </c>
      <c r="B111" s="3" t="s">
        <v>418</v>
      </c>
      <c r="C111" s="5" t="n">
        <v>1.0</v>
      </c>
      <c r="D111" s="6" t="n">
        <v>20.0</v>
      </c>
      <c r="E111" s="6" t="n">
        <v>20.0</v>
      </c>
      <c r="F111" s="10" t="n">
        <v>39.99</v>
      </c>
      <c r="G111" s="6" t="n">
        <v>39.99</v>
      </c>
      <c r="H111" s="5" t="s">
        <v>419</v>
      </c>
      <c r="I111" s="3" t="s">
        <v>47</v>
      </c>
      <c r="J111" s="11" t="s">
        <v>54</v>
      </c>
      <c r="K111" s="17" t="n">
        <v>8.68</v>
      </c>
      <c r="L111" s="17" t="n">
        <v>8.68</v>
      </c>
      <c r="M111" s="3" t="s">
        <v>21</v>
      </c>
      <c r="N111" s="3" t="s">
        <v>420</v>
      </c>
      <c r="O111" s="3" t="s">
        <v>421</v>
      </c>
      <c r="P111" s="12" t="str">
        <f>HYPERLINK("http://slimages.macys.com/is/image/MCY/1981199 ")</f>
      </c>
    </row>
    <row r="112" spans="1:16" ht="24.75">
      <c r="A112" s="9" t="s">
        <v>422</v>
      </c>
      <c r="B112" s="3" t="s">
        <v>423</v>
      </c>
      <c r="C112" s="5" t="n">
        <v>1.0</v>
      </c>
      <c r="D112" s="6" t="n">
        <v>20.0</v>
      </c>
      <c r="E112" s="6" t="n">
        <v>20.0</v>
      </c>
      <c r="F112" s="10" t="n">
        <v>42.99</v>
      </c>
      <c r="G112" s="6" t="n">
        <v>42.99</v>
      </c>
      <c r="H112" s="5" t="s">
        <v>424</v>
      </c>
      <c r="I112" s="3" t="s">
        <v>425</v>
      </c>
      <c r="J112" s="11" t="s">
        <v>426</v>
      </c>
      <c r="K112" s="17" t="n">
        <v>8.68</v>
      </c>
      <c r="L112" s="17" t="n">
        <v>8.68</v>
      </c>
      <c r="M112" s="3" t="s">
        <v>21</v>
      </c>
      <c r="N112" s="3" t="s">
        <v>427</v>
      </c>
      <c r="O112" s="3" t="s">
        <v>428</v>
      </c>
      <c r="P112" s="12" t="str">
        <f>HYPERLINK("http://slimages.macys.com/is/image/MCY/1694609 ")</f>
      </c>
    </row>
    <row r="113" spans="1:16" ht="24.75">
      <c r="A113" s="9" t="s">
        <v>429</v>
      </c>
      <c r="B113" s="3" t="s">
        <v>430</v>
      </c>
      <c r="C113" s="5" t="n">
        <v>1.0</v>
      </c>
      <c r="D113" s="6" t="n">
        <v>19.99</v>
      </c>
      <c r="E113" s="6" t="n">
        <v>19.99</v>
      </c>
      <c r="F113" s="10" t="n">
        <v>39.98</v>
      </c>
      <c r="G113" s="6" t="n">
        <v>39.98</v>
      </c>
      <c r="H113" s="5" t="s">
        <v>431</v>
      </c>
      <c r="I113" s="3" t="s">
        <v>69</v>
      </c>
      <c r="J113" s="11" t="s">
        <v>1033</v>
      </c>
      <c r="K113" s="17" t="n">
        <v>8.67566</v>
      </c>
      <c r="L113" s="17" t="n">
        <v>8.67566</v>
      </c>
      <c r="M113" s="3" t="s">
        <v>21</v>
      </c>
      <c r="N113" s="3" t="s">
        <v>191</v>
      </c>
      <c r="O113" s="3" t="s">
        <v>192</v>
      </c>
      <c r="P113" s="12" t="str">
        <f>HYPERLINK("http://slimages.macys.com/is/image/MCY/1628449 ")</f>
      </c>
    </row>
    <row r="114" spans="1:16">
      <c r="A114" s="9" t="s">
        <v>432</v>
      </c>
      <c r="B114" s="3" t="s">
        <v>433</v>
      </c>
      <c r="C114" s="5" t="n">
        <v>1.0</v>
      </c>
      <c r="D114" s="6" t="n">
        <v>19.75</v>
      </c>
      <c r="E114" s="6" t="n">
        <v>19.75</v>
      </c>
      <c r="F114" s="10" t="n">
        <v>39.5</v>
      </c>
      <c r="G114" s="6" t="n">
        <v>39.5</v>
      </c>
      <c r="H114" s="5" t="n">
        <v>494162.0</v>
      </c>
      <c r="I114" s="3" t="s">
        <v>173</v>
      </c>
      <c r="J114" s="11" t="s">
        <v>54</v>
      </c>
      <c r="K114" s="17" t="n">
        <v>8.5715</v>
      </c>
      <c r="L114" s="17" t="n">
        <v>8.5715</v>
      </c>
      <c r="M114" s="3" t="s">
        <v>21</v>
      </c>
      <c r="N114" s="3" t="s">
        <v>95</v>
      </c>
      <c r="O114" s="3" t="s">
        <v>96</v>
      </c>
      <c r="P114" s="12" t="str">
        <f>HYPERLINK("http://slimages.macys.com/is/image/MCY/2095062 ")</f>
      </c>
    </row>
    <row r="115" spans="1:16" ht="24.75">
      <c r="A115" s="9" t="s">
        <v>434</v>
      </c>
      <c r="B115" s="3" t="s">
        <v>435</v>
      </c>
      <c r="C115" s="5" t="n">
        <v>1.0</v>
      </c>
      <c r="D115" s="6" t="n">
        <v>19.75</v>
      </c>
      <c r="E115" s="6" t="n">
        <v>19.75</v>
      </c>
      <c r="F115" s="10" t="n">
        <v>39.5</v>
      </c>
      <c r="G115" s="6" t="n">
        <v>39.5</v>
      </c>
      <c r="H115" s="5" t="n">
        <v>494146.0</v>
      </c>
      <c r="I115" s="3" t="s">
        <v>82</v>
      </c>
      <c r="J115" s="11" t="s">
        <v>54</v>
      </c>
      <c r="K115" s="17" t="n">
        <v>8.5715</v>
      </c>
      <c r="L115" s="17" t="n">
        <v>8.5715</v>
      </c>
      <c r="M115" s="3" t="s">
        <v>21</v>
      </c>
      <c r="N115" s="3" t="s">
        <v>95</v>
      </c>
      <c r="O115" s="3" t="s">
        <v>96</v>
      </c>
      <c r="P115" s="12" t="str">
        <f>HYPERLINK("http://slimages.macys.com/is/image/MCY/1947164 ")</f>
      </c>
    </row>
    <row r="116" spans="1:16" ht="24.75">
      <c r="A116" s="9" t="s">
        <v>436</v>
      </c>
      <c r="B116" s="3" t="s">
        <v>437</v>
      </c>
      <c r="C116" s="5" t="n">
        <v>1.0</v>
      </c>
      <c r="D116" s="6" t="n">
        <v>19.59</v>
      </c>
      <c r="E116" s="6" t="n">
        <v>19.59</v>
      </c>
      <c r="F116" s="10" t="n">
        <v>39.98</v>
      </c>
      <c r="G116" s="6" t="n">
        <v>39.98</v>
      </c>
      <c r="H116" s="5" t="s">
        <v>438</v>
      </c>
      <c r="I116" s="3" t="s">
        <v>100</v>
      </c>
      <c r="J116" s="11" t="s">
        <v>42</v>
      </c>
      <c r="K116" s="17" t="n">
        <v>8.50206</v>
      </c>
      <c r="L116" s="17" t="n">
        <v>8.50206</v>
      </c>
      <c r="M116" s="3" t="s">
        <v>21</v>
      </c>
      <c r="N116" s="3" t="s">
        <v>191</v>
      </c>
      <c r="O116" s="3" t="s">
        <v>439</v>
      </c>
      <c r="P116" s="12" t="str">
        <f>HYPERLINK("http://slimages.macys.com/is/image/MCY/1407398 ")</f>
      </c>
    </row>
    <row r="117" spans="1:16" ht="24.75">
      <c r="A117" s="9" t="s">
        <v>440</v>
      </c>
      <c r="B117" s="3" t="s">
        <v>441</v>
      </c>
      <c r="C117" s="5" t="n">
        <v>2.0</v>
      </c>
      <c r="D117" s="6" t="n">
        <v>19.25</v>
      </c>
      <c r="E117" s="6" t="n">
        <v>38.5</v>
      </c>
      <c r="F117" s="10" t="n">
        <v>48.0</v>
      </c>
      <c r="G117" s="6" t="n">
        <v>96.0</v>
      </c>
      <c r="H117" s="5" t="s">
        <v>442</v>
      </c>
      <c r="I117" s="3" t="s">
        <v>69</v>
      </c>
      <c r="J117" s="11" t="s">
        <v>51</v>
      </c>
      <c r="K117" s="17" t="n">
        <v>8.3545</v>
      </c>
      <c r="L117" s="17" t="n">
        <v>16.709</v>
      </c>
      <c r="M117" s="3" t="s">
        <v>20</v>
      </c>
      <c r="N117" s="3" t="s">
        <v>443</v>
      </c>
      <c r="O117" s="3" t="s">
        <v>444</v>
      </c>
      <c r="P117" s="12" t="str">
        <f>HYPERLINK("http://images.bloomingdales.com/is/image/BLM/8524701 ")</f>
      </c>
    </row>
    <row r="118" spans="1:16" ht="24.75">
      <c r="A118" s="9" t="s">
        <v>445</v>
      </c>
      <c r="B118" s="3" t="s">
        <v>446</v>
      </c>
      <c r="C118" s="5" t="n">
        <v>1.0</v>
      </c>
      <c r="D118" s="6" t="n">
        <v>19.25</v>
      </c>
      <c r="E118" s="6" t="n">
        <v>19.25</v>
      </c>
      <c r="F118" s="10" t="n">
        <v>48.0</v>
      </c>
      <c r="G118" s="6" t="n">
        <v>48.0</v>
      </c>
      <c r="H118" s="5" t="s">
        <v>447</v>
      </c>
      <c r="I118" s="3" t="s">
        <v>69</v>
      </c>
      <c r="J118" s="11" t="s">
        <v>54</v>
      </c>
      <c r="K118" s="17" t="n">
        <v>8.3545</v>
      </c>
      <c r="L118" s="17" t="n">
        <v>8.3545</v>
      </c>
      <c r="M118" s="3" t="s">
        <v>20</v>
      </c>
      <c r="N118" s="3" t="s">
        <v>443</v>
      </c>
      <c r="O118" s="3" t="s">
        <v>444</v>
      </c>
      <c r="P118" s="12" t="str">
        <f>HYPERLINK("http://images.bloomingdales.com/is/image/BLM/8524702 ")</f>
      </c>
    </row>
    <row r="119" spans="1:16" ht="24.75">
      <c r="A119" s="9" t="s">
        <v>448</v>
      </c>
      <c r="B119" s="3" t="s">
        <v>449</v>
      </c>
      <c r="C119" s="5" t="n">
        <v>3.0</v>
      </c>
      <c r="D119" s="6" t="n">
        <v>19.25</v>
      </c>
      <c r="E119" s="6" t="n">
        <v>57.75</v>
      </c>
      <c r="F119" s="10" t="n">
        <v>48.0</v>
      </c>
      <c r="G119" s="6" t="n">
        <v>144.0</v>
      </c>
      <c r="H119" s="5" t="s">
        <v>450</v>
      </c>
      <c r="I119" s="3" t="s">
        <v>35</v>
      </c>
      <c r="J119" s="11" t="s">
        <v>42</v>
      </c>
      <c r="K119" s="17" t="n">
        <v>8.3545</v>
      </c>
      <c r="L119" s="17" t="n">
        <v>25.063500000000005</v>
      </c>
      <c r="M119" s="3" t="s">
        <v>20</v>
      </c>
      <c r="N119" s="3" t="s">
        <v>443</v>
      </c>
      <c r="O119" s="3" t="s">
        <v>444</v>
      </c>
      <c r="P119" s="12" t="str">
        <f>HYPERLINK("http://images.bloomingdales.com/is/image/BLM/8524699 ")</f>
      </c>
    </row>
    <row r="120" spans="1:16" ht="24.75">
      <c r="A120" s="9" t="s">
        <v>451</v>
      </c>
      <c r="B120" s="3" t="s">
        <v>446</v>
      </c>
      <c r="C120" s="5" t="n">
        <v>1.0</v>
      </c>
      <c r="D120" s="6" t="n">
        <v>19.25</v>
      </c>
      <c r="E120" s="6" t="n">
        <v>19.25</v>
      </c>
      <c r="F120" s="10" t="n">
        <v>48.0</v>
      </c>
      <c r="G120" s="6" t="n">
        <v>48.0</v>
      </c>
      <c r="H120" s="5" t="s">
        <v>447</v>
      </c>
      <c r="I120" s="3" t="s">
        <v>69</v>
      </c>
      <c r="J120" s="11" t="s">
        <v>36</v>
      </c>
      <c r="K120" s="17" t="n">
        <v>8.3545</v>
      </c>
      <c r="L120" s="17" t="n">
        <v>8.3545</v>
      </c>
      <c r="M120" s="3" t="s">
        <v>20</v>
      </c>
      <c r="N120" s="3" t="s">
        <v>443</v>
      </c>
      <c r="O120" s="3" t="s">
        <v>444</v>
      </c>
      <c r="P120" s="12" t="str">
        <f>HYPERLINK("http://images.bloomingdales.com/is/image/BLM/8524702 ")</f>
      </c>
    </row>
    <row r="121" spans="1:16" ht="24.75">
      <c r="A121" s="9" t="s">
        <v>452</v>
      </c>
      <c r="B121" s="3" t="s">
        <v>446</v>
      </c>
      <c r="C121" s="5" t="n">
        <v>3.0</v>
      </c>
      <c r="D121" s="6" t="n">
        <v>19.25</v>
      </c>
      <c r="E121" s="6" t="n">
        <v>57.75</v>
      </c>
      <c r="F121" s="10" t="n">
        <v>48.0</v>
      </c>
      <c r="G121" s="6" t="n">
        <v>144.0</v>
      </c>
      <c r="H121" s="5" t="s">
        <v>447</v>
      </c>
      <c r="I121" s="3" t="s">
        <v>69</v>
      </c>
      <c r="J121" s="11" t="s">
        <v>42</v>
      </c>
      <c r="K121" s="17" t="n">
        <v>8.3545</v>
      </c>
      <c r="L121" s="17" t="n">
        <v>25.063500000000005</v>
      </c>
      <c r="M121" s="3" t="s">
        <v>20</v>
      </c>
      <c r="N121" s="3" t="s">
        <v>443</v>
      </c>
      <c r="O121" s="3" t="s">
        <v>444</v>
      </c>
      <c r="P121" s="12" t="str">
        <f>HYPERLINK("http://images.bloomingdales.com/is/image/BLM/8524702 ")</f>
      </c>
    </row>
    <row r="122" spans="1:16" ht="24.75">
      <c r="A122" s="9" t="s">
        <v>453</v>
      </c>
      <c r="B122" s="3" t="s">
        <v>441</v>
      </c>
      <c r="C122" s="5" t="n">
        <v>2.0</v>
      </c>
      <c r="D122" s="6" t="n">
        <v>19.25</v>
      </c>
      <c r="E122" s="6" t="n">
        <v>38.5</v>
      </c>
      <c r="F122" s="10" t="n">
        <v>48.0</v>
      </c>
      <c r="G122" s="6" t="n">
        <v>96.0</v>
      </c>
      <c r="H122" s="5" t="s">
        <v>442</v>
      </c>
      <c r="I122" s="3" t="s">
        <v>69</v>
      </c>
      <c r="J122" s="11" t="s">
        <v>36</v>
      </c>
      <c r="K122" s="17" t="n">
        <v>8.3545</v>
      </c>
      <c r="L122" s="17" t="n">
        <v>16.709</v>
      </c>
      <c r="M122" s="3" t="s">
        <v>20</v>
      </c>
      <c r="N122" s="3" t="s">
        <v>443</v>
      </c>
      <c r="O122" s="3" t="s">
        <v>444</v>
      </c>
      <c r="P122" s="12" t="str">
        <f>HYPERLINK("http://images.bloomingdales.com/is/image/BLM/8524701 ")</f>
      </c>
    </row>
    <row r="123" spans="1:16" ht="24.75">
      <c r="A123" s="9" t="s">
        <v>454</v>
      </c>
      <c r="B123" s="3" t="s">
        <v>449</v>
      </c>
      <c r="C123" s="5" t="n">
        <v>1.0</v>
      </c>
      <c r="D123" s="6" t="n">
        <v>19.25</v>
      </c>
      <c r="E123" s="6" t="n">
        <v>19.25</v>
      </c>
      <c r="F123" s="10" t="n">
        <v>48.0</v>
      </c>
      <c r="G123" s="6" t="n">
        <v>48.0</v>
      </c>
      <c r="H123" s="5" t="s">
        <v>450</v>
      </c>
      <c r="I123" s="3" t="s">
        <v>35</v>
      </c>
      <c r="J123" s="11" t="s">
        <v>36</v>
      </c>
      <c r="K123" s="17" t="n">
        <v>8.3545</v>
      </c>
      <c r="L123" s="17" t="n">
        <v>8.3545</v>
      </c>
      <c r="M123" s="3" t="s">
        <v>20</v>
      </c>
      <c r="N123" s="3" t="s">
        <v>443</v>
      </c>
      <c r="O123" s="3" t="s">
        <v>444</v>
      </c>
      <c r="P123" s="12" t="str">
        <f>HYPERLINK("http://images.bloomingdales.com/is/image/BLM/8524699 ")</f>
      </c>
    </row>
    <row r="124" spans="1:16" ht="24.75">
      <c r="A124" s="9" t="s">
        <v>455</v>
      </c>
      <c r="B124" s="3" t="s">
        <v>446</v>
      </c>
      <c r="C124" s="5" t="n">
        <v>1.0</v>
      </c>
      <c r="D124" s="6" t="n">
        <v>19.25</v>
      </c>
      <c r="E124" s="6" t="n">
        <v>19.25</v>
      </c>
      <c r="F124" s="10" t="n">
        <v>48.0</v>
      </c>
      <c r="G124" s="6" t="n">
        <v>48.0</v>
      </c>
      <c r="H124" s="5" t="s">
        <v>447</v>
      </c>
      <c r="I124" s="3" t="s">
        <v>69</v>
      </c>
      <c r="J124" s="11" t="s">
        <v>51</v>
      </c>
      <c r="K124" s="17" t="n">
        <v>8.3545</v>
      </c>
      <c r="L124" s="17" t="n">
        <v>8.3545</v>
      </c>
      <c r="M124" s="3" t="s">
        <v>20</v>
      </c>
      <c r="N124" s="3" t="s">
        <v>443</v>
      </c>
      <c r="O124" s="3" t="s">
        <v>444</v>
      </c>
      <c r="P124" s="12" t="str">
        <f>HYPERLINK("http://images.bloomingdales.com/is/image/BLM/8524702 ")</f>
      </c>
    </row>
    <row r="125" spans="1:16" ht="24.75">
      <c r="A125" s="9" t="s">
        <v>456</v>
      </c>
      <c r="B125" s="3" t="s">
        <v>449</v>
      </c>
      <c r="C125" s="5" t="n">
        <v>1.0</v>
      </c>
      <c r="D125" s="6" t="n">
        <v>19.25</v>
      </c>
      <c r="E125" s="6" t="n">
        <v>19.25</v>
      </c>
      <c r="F125" s="10" t="n">
        <v>48.0</v>
      </c>
      <c r="G125" s="6" t="n">
        <v>48.0</v>
      </c>
      <c r="H125" s="5" t="s">
        <v>450</v>
      </c>
      <c r="I125" s="3" t="s">
        <v>35</v>
      </c>
      <c r="J125" s="11" t="s">
        <v>51</v>
      </c>
      <c r="K125" s="17" t="n">
        <v>8.3545</v>
      </c>
      <c r="L125" s="17" t="n">
        <v>8.3545</v>
      </c>
      <c r="M125" s="3" t="s">
        <v>20</v>
      </c>
      <c r="N125" s="3" t="s">
        <v>443</v>
      </c>
      <c r="O125" s="3" t="s">
        <v>444</v>
      </c>
      <c r="P125" s="12" t="str">
        <f>HYPERLINK("http://images.bloomingdales.com/is/image/BLM/8524699 ")</f>
      </c>
    </row>
    <row r="126" spans="1:16" ht="24.75">
      <c r="A126" s="9" t="s">
        <v>457</v>
      </c>
      <c r="B126" s="3" t="s">
        <v>458</v>
      </c>
      <c r="C126" s="5" t="n">
        <v>1.0</v>
      </c>
      <c r="D126" s="6" t="n">
        <v>19.0</v>
      </c>
      <c r="E126" s="6" t="n">
        <v>19.0</v>
      </c>
      <c r="F126" s="10" t="n">
        <v>44.99</v>
      </c>
      <c r="G126" s="6" t="n">
        <v>44.99</v>
      </c>
      <c r="H126" s="5" t="s">
        <v>459</v>
      </c>
      <c r="I126" s="3" t="s">
        <v>153</v>
      </c>
      <c r="J126" s="11" t="s">
        <v>83</v>
      </c>
      <c r="K126" s="17" t="n">
        <v>8.246</v>
      </c>
      <c r="L126" s="17" t="n">
        <v>8.246</v>
      </c>
      <c r="M126" s="3" t="s">
        <v>21</v>
      </c>
      <c r="N126" s="3" t="s">
        <v>460</v>
      </c>
      <c r="O126" s="3" t="s">
        <v>461</v>
      </c>
      <c r="P126" s="12" t="str">
        <f>HYPERLINK("http://slimages.macys.com/is/image/MCY/2197266 ")</f>
      </c>
    </row>
    <row r="127" spans="1:16" ht="24.75">
      <c r="A127" s="9" t="s">
        <v>462</v>
      </c>
      <c r="B127" s="3" t="s">
        <v>463</v>
      </c>
      <c r="C127" s="5" t="n">
        <v>1.0</v>
      </c>
      <c r="D127" s="6" t="n">
        <v>18.88</v>
      </c>
      <c r="E127" s="6" t="n">
        <v>18.88</v>
      </c>
      <c r="F127" s="10" t="n">
        <v>39.99</v>
      </c>
      <c r="G127" s="6" t="n">
        <v>39.99</v>
      </c>
      <c r="H127" s="5" t="n">
        <v>4.62350001E8</v>
      </c>
      <c r="I127" s="3" t="s">
        <v>464</v>
      </c>
      <c r="J127" s="11" t="s">
        <v>182</v>
      </c>
      <c r="K127" s="17" t="n">
        <v>8.19392</v>
      </c>
      <c r="L127" s="17" t="n">
        <v>8.19392</v>
      </c>
      <c r="M127" s="3" t="s">
        <v>21</v>
      </c>
      <c r="N127" s="3" t="s">
        <v>290</v>
      </c>
      <c r="O127" s="3" t="s">
        <v>291</v>
      </c>
      <c r="P127" s="12" t="str">
        <f>HYPERLINK("http://slimages.macys.com/is/image/MCY/1347766 ")</f>
      </c>
    </row>
    <row r="128" spans="1:16" ht="24.75">
      <c r="A128" s="9" t="s">
        <v>465</v>
      </c>
      <c r="B128" s="3" t="s">
        <v>466</v>
      </c>
      <c r="C128" s="5" t="n">
        <v>1.0</v>
      </c>
      <c r="D128" s="6" t="n">
        <v>18.88</v>
      </c>
      <c r="E128" s="6" t="n">
        <v>18.88</v>
      </c>
      <c r="F128" s="10" t="n">
        <v>32.99</v>
      </c>
      <c r="G128" s="6" t="n">
        <v>32.99</v>
      </c>
      <c r="H128" s="5" t="n">
        <v>4.08510006E8</v>
      </c>
      <c r="I128" s="3" t="s">
        <v>467</v>
      </c>
      <c r="J128" s="11" t="s">
        <v>468</v>
      </c>
      <c r="K128" s="17" t="n">
        <v>8.19392</v>
      </c>
      <c r="L128" s="17" t="n">
        <v>8.19392</v>
      </c>
      <c r="M128" s="3" t="s">
        <v>21</v>
      </c>
      <c r="N128" s="3" t="s">
        <v>290</v>
      </c>
      <c r="O128" s="3" t="s">
        <v>291</v>
      </c>
      <c r="P128" s="12" t="str">
        <f>HYPERLINK("http://slimages.macys.com/is/image/MCY/1347630 ")</f>
      </c>
    </row>
    <row r="129" spans="1:16" ht="24.75">
      <c r="A129" s="9" t="s">
        <v>469</v>
      </c>
      <c r="B129" s="3" t="s">
        <v>470</v>
      </c>
      <c r="C129" s="5" t="n">
        <v>1.0</v>
      </c>
      <c r="D129" s="6" t="n">
        <v>18.79</v>
      </c>
      <c r="E129" s="6" t="n">
        <v>18.79</v>
      </c>
      <c r="F129" s="10" t="n">
        <v>39.98</v>
      </c>
      <c r="G129" s="6" t="n">
        <v>39.98</v>
      </c>
      <c r="H129" s="5" t="s">
        <v>471</v>
      </c>
      <c r="I129" s="3" t="s">
        <v>137</v>
      </c>
      <c r="J129" s="11" t="s">
        <v>51</v>
      </c>
      <c r="K129" s="17" t="n">
        <v>8.15486</v>
      </c>
      <c r="L129" s="17" t="n">
        <v>8.15486</v>
      </c>
      <c r="M129" s="3" t="s">
        <v>21</v>
      </c>
      <c r="N129" s="3" t="s">
        <v>191</v>
      </c>
      <c r="O129" s="3" t="s">
        <v>192</v>
      </c>
      <c r="P129" s="12" t="str">
        <f>HYPERLINK("http://slimages.macys.com/is/image/MCY/2085887 ")</f>
      </c>
    </row>
    <row r="130" spans="1:16" ht="24.75">
      <c r="A130" s="9" t="s">
        <v>472</v>
      </c>
      <c r="B130" s="3" t="s">
        <v>473</v>
      </c>
      <c r="C130" s="5" t="n">
        <v>1.0</v>
      </c>
      <c r="D130" s="6" t="n">
        <v>18.5</v>
      </c>
      <c r="E130" s="6" t="n">
        <v>18.5</v>
      </c>
      <c r="F130" s="10" t="n">
        <v>39.99</v>
      </c>
      <c r="G130" s="6" t="n">
        <v>39.99</v>
      </c>
      <c r="H130" s="5" t="s">
        <v>474</v>
      </c>
      <c r="I130" s="3" t="s">
        <v>475</v>
      </c>
      <c r="J130" s="11" t="s">
        <v>1033</v>
      </c>
      <c r="K130" s="17" t="n">
        <v>8.029</v>
      </c>
      <c r="L130" s="17" t="n">
        <v>8.029</v>
      </c>
      <c r="M130" s="3" t="s">
        <v>21</v>
      </c>
      <c r="N130" s="3" t="s">
        <v>77</v>
      </c>
      <c r="O130" s="3" t="s">
        <v>476</v>
      </c>
      <c r="P130" s="12" t="str">
        <f>HYPERLINK("http://slimages.macys.com/is/image/MCY/1956102 ")</f>
      </c>
    </row>
    <row r="131" spans="1:16" ht="24.75">
      <c r="A131" s="9" t="s">
        <v>477</v>
      </c>
      <c r="B131" s="3" t="s">
        <v>478</v>
      </c>
      <c r="C131" s="5" t="n">
        <v>1.0</v>
      </c>
      <c r="D131" s="6" t="n">
        <v>18.0</v>
      </c>
      <c r="E131" s="6" t="n">
        <v>18.0</v>
      </c>
      <c r="F131" s="10" t="n">
        <v>39.99</v>
      </c>
      <c r="G131" s="6" t="n">
        <v>39.99</v>
      </c>
      <c r="H131" s="5" t="s">
        <v>479</v>
      </c>
      <c r="I131" s="3" t="s">
        <v>265</v>
      </c>
      <c r="J131" s="11" t="s">
        <v>36</v>
      </c>
      <c r="K131" s="17" t="n">
        <v>7.812</v>
      </c>
      <c r="L131" s="17" t="n">
        <v>7.812</v>
      </c>
      <c r="M131" s="3" t="s">
        <v>21</v>
      </c>
      <c r="N131" s="3" t="s">
        <v>413</v>
      </c>
      <c r="O131" s="3" t="s">
        <v>480</v>
      </c>
      <c r="P131" s="12" t="str">
        <f>HYPERLINK("http://slimages.macys.com/is/image/MCY/1744833 ")</f>
      </c>
    </row>
    <row r="132" spans="1:16" ht="24.75">
      <c r="A132" s="9" t="s">
        <v>481</v>
      </c>
      <c r="B132" s="3" t="s">
        <v>482</v>
      </c>
      <c r="C132" s="5" t="n">
        <v>1.0</v>
      </c>
      <c r="D132" s="6" t="n">
        <v>18.0</v>
      </c>
      <c r="E132" s="6" t="n">
        <v>18.0</v>
      </c>
      <c r="F132" s="10" t="n">
        <v>39.99</v>
      </c>
      <c r="G132" s="6" t="n">
        <v>39.99</v>
      </c>
      <c r="H132" s="5" t="s">
        <v>483</v>
      </c>
      <c r="I132" s="3" t="s">
        <v>47</v>
      </c>
      <c r="J132" s="11" t="s">
        <v>36</v>
      </c>
      <c r="K132" s="17" t="n">
        <v>7.812</v>
      </c>
      <c r="L132" s="17" t="n">
        <v>7.812</v>
      </c>
      <c r="M132" s="3" t="s">
        <v>21</v>
      </c>
      <c r="N132" s="3" t="s">
        <v>420</v>
      </c>
      <c r="O132" s="3" t="s">
        <v>421</v>
      </c>
      <c r="P132" s="12" t="str">
        <f>HYPERLINK("http://slimages.macys.com/is/image/MCY/1722965 ")</f>
      </c>
    </row>
    <row r="133" spans="1:16" ht="24.75">
      <c r="A133" s="9" t="s">
        <v>484</v>
      </c>
      <c r="B133" s="3" t="s">
        <v>485</v>
      </c>
      <c r="C133" s="5" t="n">
        <v>1.0</v>
      </c>
      <c r="D133" s="6" t="n">
        <v>18.0</v>
      </c>
      <c r="E133" s="6" t="n">
        <v>18.0</v>
      </c>
      <c r="F133" s="10" t="n">
        <v>39.99</v>
      </c>
      <c r="G133" s="6" t="n">
        <v>39.99</v>
      </c>
      <c r="H133" s="5" t="s">
        <v>486</v>
      </c>
      <c r="I133" s="3" t="s">
        <v>367</v>
      </c>
      <c r="J133" s="11" t="s">
        <v>487</v>
      </c>
      <c r="K133" s="17" t="n">
        <v>7.812</v>
      </c>
      <c r="L133" s="17" t="n">
        <v>7.812</v>
      </c>
      <c r="M133" s="3" t="s">
        <v>21</v>
      </c>
      <c r="N133" s="3" t="s">
        <v>460</v>
      </c>
      <c r="O133" s="3" t="s">
        <v>488</v>
      </c>
      <c r="P133" s="12" t="str">
        <f>HYPERLINK("http://slimages.macys.com/is/image/MCY/1829221 ")</f>
      </c>
    </row>
    <row r="134" spans="1:16" ht="24.75">
      <c r="A134" s="9" t="s">
        <v>489</v>
      </c>
      <c r="B134" s="3" t="s">
        <v>490</v>
      </c>
      <c r="C134" s="5" t="n">
        <v>1.0</v>
      </c>
      <c r="D134" s="6" t="n">
        <v>17.99</v>
      </c>
      <c r="E134" s="6" t="n">
        <v>17.99</v>
      </c>
      <c r="F134" s="10" t="n">
        <v>39.98</v>
      </c>
      <c r="G134" s="6" t="n">
        <v>39.98</v>
      </c>
      <c r="H134" s="5" t="s">
        <v>491</v>
      </c>
      <c r="I134" s="3" t="s">
        <v>47</v>
      </c>
      <c r="J134" s="11" t="s">
        <v>48</v>
      </c>
      <c r="K134" s="17" t="n">
        <v>7.807660000000001</v>
      </c>
      <c r="L134" s="17" t="n">
        <v>7.807660000000001</v>
      </c>
      <c r="M134" s="3" t="s">
        <v>21</v>
      </c>
      <c r="N134" s="3" t="s">
        <v>191</v>
      </c>
      <c r="O134" s="3" t="s">
        <v>282</v>
      </c>
      <c r="P134" s="12" t="str">
        <f>HYPERLINK("http://slimages.macys.com/is/image/MCY/1936754 ")</f>
      </c>
    </row>
    <row r="135" spans="1:16" ht="24.75">
      <c r="A135" s="9" t="s">
        <v>492</v>
      </c>
      <c r="B135" s="3" t="s">
        <v>493</v>
      </c>
      <c r="C135" s="5" t="n">
        <v>1.0</v>
      </c>
      <c r="D135" s="6" t="n">
        <v>17.99</v>
      </c>
      <c r="E135" s="6" t="n">
        <v>17.99</v>
      </c>
      <c r="F135" s="10" t="n">
        <v>39.98</v>
      </c>
      <c r="G135" s="6" t="n">
        <v>39.98</v>
      </c>
      <c r="H135" s="5" t="s">
        <v>494</v>
      </c>
      <c r="I135" s="3" t="s">
        <v>173</v>
      </c>
      <c r="J135" s="11" t="s">
        <v>36</v>
      </c>
      <c r="K135" s="17" t="n">
        <v>7.807660000000001</v>
      </c>
      <c r="L135" s="17" t="n">
        <v>7.807660000000001</v>
      </c>
      <c r="M135" s="3" t="s">
        <v>21</v>
      </c>
      <c r="N135" s="3" t="s">
        <v>191</v>
      </c>
      <c r="O135" s="3" t="s">
        <v>192</v>
      </c>
      <c r="P135" s="12" t="str">
        <f>HYPERLINK("http://slimages.macys.com/is/image/MCY/2105268 ")</f>
      </c>
    </row>
    <row r="136" spans="1:16">
      <c r="A136" s="9" t="s">
        <v>495</v>
      </c>
      <c r="B136" s="3" t="s">
        <v>496</v>
      </c>
      <c r="C136" s="5" t="n">
        <v>2.0</v>
      </c>
      <c r="D136" s="6" t="n">
        <v>17.88</v>
      </c>
      <c r="E136" s="6" t="n">
        <v>35.76</v>
      </c>
      <c r="F136" s="10" t="n">
        <v>36.99</v>
      </c>
      <c r="G136" s="6" t="n">
        <v>73.98</v>
      </c>
      <c r="H136" s="5" t="n">
        <v>2.08292659E8</v>
      </c>
      <c r="I136" s="3" t="s">
        <v>35</v>
      </c>
      <c r="J136" s="11" t="s">
        <v>295</v>
      </c>
      <c r="K136" s="17" t="n">
        <v>7.75992</v>
      </c>
      <c r="L136" s="17" t="n">
        <v>15.51984</v>
      </c>
      <c r="M136" s="3" t="s">
        <v>21</v>
      </c>
      <c r="N136" s="3" t="s">
        <v>290</v>
      </c>
      <c r="O136" s="3" t="s">
        <v>291</v>
      </c>
      <c r="P136" s="12" t="str">
        <f>HYPERLINK("http://slimages.macys.com/is/image/MCY/1347600 ")</f>
      </c>
    </row>
    <row r="137" spans="1:16" ht="24.75">
      <c r="A137" s="9" t="s">
        <v>497</v>
      </c>
      <c r="B137" s="3" t="s">
        <v>498</v>
      </c>
      <c r="C137" s="5" t="n">
        <v>1.0</v>
      </c>
      <c r="D137" s="6" t="n">
        <v>17.33</v>
      </c>
      <c r="E137" s="6" t="n">
        <v>17.33</v>
      </c>
      <c r="F137" s="10" t="n">
        <v>49.5</v>
      </c>
      <c r="G137" s="6" t="n">
        <v>49.5</v>
      </c>
      <c r="H137" s="5" t="s">
        <v>499</v>
      </c>
      <c r="I137" s="3" t="s">
        <v>475</v>
      </c>
      <c r="J137" s="11" t="s">
        <v>54</v>
      </c>
      <c r="K137" s="17" t="n">
        <v>7.5212200000000005</v>
      </c>
      <c r="L137" s="17" t="n">
        <v>7.5212200000000005</v>
      </c>
      <c r="M137" s="3" t="s">
        <v>21</v>
      </c>
      <c r="N137" s="3" t="s">
        <v>191</v>
      </c>
      <c r="O137" s="3" t="s">
        <v>192</v>
      </c>
      <c r="P137" s="12" t="str">
        <f>HYPERLINK("http://slimages.macys.com/is/image/MCY/1819801 ")</f>
      </c>
    </row>
    <row r="138" spans="1:16" ht="24.75">
      <c r="A138" s="9" t="s">
        <v>500</v>
      </c>
      <c r="B138" s="3" t="s">
        <v>501</v>
      </c>
      <c r="C138" s="5" t="n">
        <v>1.0</v>
      </c>
      <c r="D138" s="6" t="n">
        <v>17.33</v>
      </c>
      <c r="E138" s="6" t="n">
        <v>17.33</v>
      </c>
      <c r="F138" s="10" t="n">
        <v>49.5</v>
      </c>
      <c r="G138" s="6" t="n">
        <v>49.5</v>
      </c>
      <c r="H138" s="5" t="s">
        <v>502</v>
      </c>
      <c r="I138" s="3" t="s">
        <v>173</v>
      </c>
      <c r="J138" s="11" t="s">
        <v>201</v>
      </c>
      <c r="K138" s="17" t="n">
        <v>7.5212200000000005</v>
      </c>
      <c r="L138" s="17" t="n">
        <v>7.5212200000000005</v>
      </c>
      <c r="M138" s="3" t="s">
        <v>21</v>
      </c>
      <c r="N138" s="3" t="s">
        <v>191</v>
      </c>
      <c r="O138" s="3" t="s">
        <v>282</v>
      </c>
      <c r="P138" s="12" t="str">
        <f>HYPERLINK("http://slimages.macys.com/is/image/MCY/2017560 ")</f>
      </c>
    </row>
    <row r="139" spans="1:16" ht="24.75">
      <c r="A139" s="9" t="s">
        <v>503</v>
      </c>
      <c r="B139" s="3" t="s">
        <v>504</v>
      </c>
      <c r="C139" s="5" t="n">
        <v>1.0</v>
      </c>
      <c r="D139" s="6" t="n">
        <v>17.0</v>
      </c>
      <c r="E139" s="6" t="n">
        <v>17.0</v>
      </c>
      <c r="F139" s="10" t="n">
        <v>34.99</v>
      </c>
      <c r="G139" s="6" t="n">
        <v>34.99</v>
      </c>
      <c r="H139" s="5" t="s">
        <v>505</v>
      </c>
      <c r="I139" s="3" t="s">
        <v>47</v>
      </c>
      <c r="J139" s="11" t="s">
        <v>388</v>
      </c>
      <c r="K139" s="17" t="n">
        <v>7.378</v>
      </c>
      <c r="L139" s="17" t="n">
        <v>7.378</v>
      </c>
      <c r="M139" s="3" t="s">
        <v>21</v>
      </c>
      <c r="N139" s="3" t="s">
        <v>460</v>
      </c>
      <c r="O139" s="3" t="s">
        <v>506</v>
      </c>
      <c r="P139" s="12" t="str">
        <f>HYPERLINK("http://slimages.macys.com/is/image/MCY/1760302 ")</f>
      </c>
    </row>
    <row r="140" spans="1:16" ht="24.75">
      <c r="A140" s="9" t="s">
        <v>507</v>
      </c>
      <c r="B140" s="3" t="s">
        <v>508</v>
      </c>
      <c r="C140" s="5" t="n">
        <v>1.0</v>
      </c>
      <c r="D140" s="6" t="n">
        <v>17.0</v>
      </c>
      <c r="E140" s="6" t="n">
        <v>17.0</v>
      </c>
      <c r="F140" s="10" t="n">
        <v>34.99</v>
      </c>
      <c r="G140" s="6" t="n">
        <v>34.99</v>
      </c>
      <c r="H140" s="5" t="s">
        <v>505</v>
      </c>
      <c r="I140" s="3" t="s">
        <v>47</v>
      </c>
      <c r="J140" s="11" t="s">
        <v>509</v>
      </c>
      <c r="K140" s="17" t="n">
        <v>7.378</v>
      </c>
      <c r="L140" s="17" t="n">
        <v>7.378</v>
      </c>
      <c r="M140" s="3" t="s">
        <v>21</v>
      </c>
      <c r="N140" s="3" t="s">
        <v>460</v>
      </c>
      <c r="O140" s="3" t="s">
        <v>506</v>
      </c>
      <c r="P140" s="12" t="str">
        <f>HYPERLINK("http://slimages.macys.com/is/image/MCY/1760302 ")</f>
      </c>
    </row>
    <row r="141" spans="1:16" ht="24.75">
      <c r="A141" s="9" t="s">
        <v>510</v>
      </c>
      <c r="B141" s="3" t="s">
        <v>511</v>
      </c>
      <c r="C141" s="5" t="n">
        <v>4.0</v>
      </c>
      <c r="D141" s="6" t="n">
        <v>17.0</v>
      </c>
      <c r="E141" s="6" t="n">
        <v>68.0</v>
      </c>
      <c r="F141" s="10" t="n">
        <v>34.99</v>
      </c>
      <c r="G141" s="6" t="n">
        <v>139.96</v>
      </c>
      <c r="H141" s="5" t="s">
        <v>505</v>
      </c>
      <c r="I141" s="3" t="s">
        <v>47</v>
      </c>
      <c r="J141" s="11" t="s">
        <v>356</v>
      </c>
      <c r="K141" s="17" t="n">
        <v>7.378</v>
      </c>
      <c r="L141" s="17" t="n">
        <v>29.512</v>
      </c>
      <c r="M141" s="3" t="s">
        <v>21</v>
      </c>
      <c r="N141" s="3" t="s">
        <v>460</v>
      </c>
      <c r="O141" s="3" t="s">
        <v>506</v>
      </c>
      <c r="P141" s="12" t="str">
        <f>HYPERLINK("http://slimages.macys.com/is/image/MCY/1760302 ")</f>
      </c>
    </row>
    <row r="142" spans="1:16">
      <c r="A142" s="9" t="s">
        <v>512</v>
      </c>
      <c r="B142" s="3" t="s">
        <v>513</v>
      </c>
      <c r="C142" s="5" t="n">
        <v>1.0</v>
      </c>
      <c r="D142" s="6" t="n">
        <v>17.0</v>
      </c>
      <c r="E142" s="6" t="n">
        <v>17.0</v>
      </c>
      <c r="F142" s="10" t="n">
        <v>39.99</v>
      </c>
      <c r="G142" s="6" t="n">
        <v>39.99</v>
      </c>
      <c r="H142" s="5" t="n">
        <v>4564175.0</v>
      </c>
      <c r="I142" s="3" t="s">
        <v>210</v>
      </c>
      <c r="J142" s="11" t="s">
        <v>509</v>
      </c>
      <c r="K142" s="17" t="n">
        <v>7.378</v>
      </c>
      <c r="L142" s="17" t="n">
        <v>7.378</v>
      </c>
      <c r="M142" s="3" t="s">
        <v>21</v>
      </c>
      <c r="N142" s="3" t="s">
        <v>460</v>
      </c>
      <c r="O142" s="3" t="s">
        <v>506</v>
      </c>
      <c r="P142" s="12" t="str">
        <f>HYPERLINK("http://slimages.macys.com/is/image/MCY/927804 ")</f>
      </c>
    </row>
    <row r="143" spans="1:16">
      <c r="A143" s="9" t="s">
        <v>514</v>
      </c>
      <c r="B143" s="3" t="s">
        <v>515</v>
      </c>
      <c r="C143" s="5" t="n">
        <v>1.0</v>
      </c>
      <c r="D143" s="6" t="n">
        <v>17.0</v>
      </c>
      <c r="E143" s="6" t="n">
        <v>17.0</v>
      </c>
      <c r="F143" s="10" t="n">
        <v>34.99</v>
      </c>
      <c r="G143" s="6" t="n">
        <v>34.99</v>
      </c>
      <c r="H143" s="5" t="s">
        <v>505</v>
      </c>
      <c r="I143" s="3" t="s">
        <v>47</v>
      </c>
      <c r="J143" s="11" t="s">
        <v>295</v>
      </c>
      <c r="K143" s="17" t="n">
        <v>7.378</v>
      </c>
      <c r="L143" s="17" t="n">
        <v>7.378</v>
      </c>
      <c r="M143" s="3" t="s">
        <v>21</v>
      </c>
      <c r="N143" s="3" t="s">
        <v>460</v>
      </c>
      <c r="O143" s="3" t="s">
        <v>506</v>
      </c>
      <c r="P143" s="12" t="str">
        <f>HYPERLINK("http://slimages.macys.com/is/image/MCY/1760302 ")</f>
      </c>
    </row>
    <row r="144" spans="1:16">
      <c r="A144" s="9" t="s">
        <v>516</v>
      </c>
      <c r="B144" s="3" t="s">
        <v>517</v>
      </c>
      <c r="C144" s="5" t="n">
        <v>2.0</v>
      </c>
      <c r="D144" s="6" t="n">
        <v>17.0</v>
      </c>
      <c r="E144" s="6" t="n">
        <v>34.0</v>
      </c>
      <c r="F144" s="10" t="n">
        <v>34.99</v>
      </c>
      <c r="G144" s="6" t="n">
        <v>69.98</v>
      </c>
      <c r="H144" s="5" t="s">
        <v>505</v>
      </c>
      <c r="I144" s="3" t="s">
        <v>47</v>
      </c>
      <c r="J144" s="11" t="s">
        <v>359</v>
      </c>
      <c r="K144" s="17" t="n">
        <v>7.378</v>
      </c>
      <c r="L144" s="17" t="n">
        <v>14.756</v>
      </c>
      <c r="M144" s="3" t="s">
        <v>21</v>
      </c>
      <c r="N144" s="3" t="s">
        <v>460</v>
      </c>
      <c r="O144" s="3" t="s">
        <v>506</v>
      </c>
      <c r="P144" s="12" t="str">
        <f>HYPERLINK("http://slimages.macys.com/is/image/MCY/1760302 ")</f>
      </c>
    </row>
    <row r="145" spans="1:16" ht="24.75">
      <c r="A145" s="9" t="s">
        <v>518</v>
      </c>
      <c r="B145" s="3" t="s">
        <v>519</v>
      </c>
      <c r="C145" s="5" t="n">
        <v>1.0</v>
      </c>
      <c r="D145" s="6" t="n">
        <v>17.0</v>
      </c>
      <c r="E145" s="6" t="n">
        <v>17.0</v>
      </c>
      <c r="F145" s="10" t="n">
        <v>34.99</v>
      </c>
      <c r="G145" s="6" t="n">
        <v>34.99</v>
      </c>
      <c r="H145" s="5" t="s">
        <v>505</v>
      </c>
      <c r="I145" s="3" t="s">
        <v>137</v>
      </c>
      <c r="J145" s="11" t="s">
        <v>356</v>
      </c>
      <c r="K145" s="17" t="n">
        <v>7.378</v>
      </c>
      <c r="L145" s="17" t="n">
        <v>7.378</v>
      </c>
      <c r="M145" s="3" t="s">
        <v>21</v>
      </c>
      <c r="N145" s="3" t="s">
        <v>460</v>
      </c>
      <c r="O145" s="3" t="s">
        <v>506</v>
      </c>
      <c r="P145" s="12" t="str">
        <f>HYPERLINK("http://slimages.macys.com/is/image/MCY/1760302 ")</f>
      </c>
    </row>
    <row r="146" spans="1:16">
      <c r="A146" s="9" t="s">
        <v>520</v>
      </c>
      <c r="B146" s="3" t="s">
        <v>521</v>
      </c>
      <c r="C146" s="5" t="n">
        <v>2.0</v>
      </c>
      <c r="D146" s="6" t="n">
        <v>17.0</v>
      </c>
      <c r="E146" s="6" t="n">
        <v>34.0</v>
      </c>
      <c r="F146" s="10" t="n">
        <v>34.99</v>
      </c>
      <c r="G146" s="6" t="n">
        <v>69.98</v>
      </c>
      <c r="H146" s="5" t="s">
        <v>505</v>
      </c>
      <c r="I146" s="3" t="s">
        <v>47</v>
      </c>
      <c r="J146" s="11" t="s">
        <v>371</v>
      </c>
      <c r="K146" s="17" t="n">
        <v>7.378</v>
      </c>
      <c r="L146" s="17" t="n">
        <v>14.756</v>
      </c>
      <c r="M146" s="3" t="s">
        <v>21</v>
      </c>
      <c r="N146" s="3" t="s">
        <v>460</v>
      </c>
      <c r="O146" s="3" t="s">
        <v>506</v>
      </c>
      <c r="P146" s="12" t="str">
        <f>HYPERLINK("http://slimages.macys.com/is/image/MCY/1760302 ")</f>
      </c>
    </row>
    <row r="147" spans="1:16">
      <c r="A147" s="9" t="s">
        <v>522</v>
      </c>
      <c r="B147" s="3" t="s">
        <v>523</v>
      </c>
      <c r="C147" s="5" t="n">
        <v>3.0</v>
      </c>
      <c r="D147" s="6" t="n">
        <v>17.0</v>
      </c>
      <c r="E147" s="6" t="n">
        <v>51.0</v>
      </c>
      <c r="F147" s="10" t="n">
        <v>34.99</v>
      </c>
      <c r="G147" s="6" t="n">
        <v>104.97</v>
      </c>
      <c r="H147" s="5" t="s">
        <v>505</v>
      </c>
      <c r="I147" s="3" t="s">
        <v>47</v>
      </c>
      <c r="J147" s="11" t="s">
        <v>1033</v>
      </c>
      <c r="K147" s="17" t="n">
        <v>7.378</v>
      </c>
      <c r="L147" s="17" t="n">
        <v>22.134</v>
      </c>
      <c r="M147" s="3" t="s">
        <v>21</v>
      </c>
      <c r="N147" s="3" t="s">
        <v>460</v>
      </c>
      <c r="O147" s="3" t="s">
        <v>506</v>
      </c>
      <c r="P147" s="12" t="str">
        <f>HYPERLINK("http://slimages.macys.com/is/image/MCY/1760302 ")</f>
      </c>
    </row>
    <row r="148" spans="1:16" ht="24.75">
      <c r="A148" s="9" t="s">
        <v>524</v>
      </c>
      <c r="B148" s="3" t="s">
        <v>525</v>
      </c>
      <c r="C148" s="5" t="n">
        <v>1.0</v>
      </c>
      <c r="D148" s="6" t="n">
        <v>16.73</v>
      </c>
      <c r="E148" s="6" t="n">
        <v>16.73</v>
      </c>
      <c r="F148" s="10" t="n">
        <v>39.98</v>
      </c>
      <c r="G148" s="6" t="n">
        <v>39.98</v>
      </c>
      <c r="H148" s="5" t="s">
        <v>526</v>
      </c>
      <c r="I148" s="3" t="s">
        <v>47</v>
      </c>
      <c r="J148" s="11" t="s">
        <v>509</v>
      </c>
      <c r="K148" s="17" t="n">
        <v>7.260820000000001</v>
      </c>
      <c r="L148" s="17" t="n">
        <v>7.260820000000001</v>
      </c>
      <c r="M148" s="3" t="s">
        <v>21</v>
      </c>
      <c r="N148" s="3" t="s">
        <v>191</v>
      </c>
      <c r="O148" s="3" t="s">
        <v>527</v>
      </c>
      <c r="P148" s="12" t="str">
        <f>HYPERLINK("http://slimages.macys.com/is/image/MCY/1427962 ")</f>
      </c>
    </row>
    <row r="149" spans="1:16">
      <c r="A149" s="9" t="s">
        <v>528</v>
      </c>
      <c r="B149" s="3" t="s">
        <v>529</v>
      </c>
      <c r="C149" s="5" t="n">
        <v>1.0</v>
      </c>
      <c r="D149" s="6" t="n">
        <v>16.5</v>
      </c>
      <c r="E149" s="6" t="n">
        <v>16.5</v>
      </c>
      <c r="F149" s="10" t="n">
        <v>34.99</v>
      </c>
      <c r="G149" s="6" t="n">
        <v>34.99</v>
      </c>
      <c r="H149" s="5" t="s">
        <v>530</v>
      </c>
      <c r="I149" s="3" t="s">
        <v>153</v>
      </c>
      <c r="J149" s="11" t="s">
        <v>426</v>
      </c>
      <c r="K149" s="17" t="n">
        <v>7.1610000000000005</v>
      </c>
      <c r="L149" s="17" t="n">
        <v>7.1610000000000005</v>
      </c>
      <c r="M149" s="3" t="s">
        <v>21</v>
      </c>
      <c r="N149" s="3" t="s">
        <v>427</v>
      </c>
      <c r="O149" s="3" t="s">
        <v>428</v>
      </c>
      <c r="P149" s="12" t="str">
        <f>HYPERLINK("http://slimages.macys.com/is/image/MCY/1694630 ")</f>
      </c>
    </row>
    <row r="150" spans="1:16">
      <c r="A150" s="9" t="s">
        <v>531</v>
      </c>
      <c r="B150" s="3" t="s">
        <v>532</v>
      </c>
      <c r="C150" s="5" t="n">
        <v>1.0</v>
      </c>
      <c r="D150" s="6" t="n">
        <v>16.5</v>
      </c>
      <c r="E150" s="6" t="n">
        <v>16.5</v>
      </c>
      <c r="F150" s="10" t="n">
        <v>34.99</v>
      </c>
      <c r="G150" s="6" t="n">
        <v>34.99</v>
      </c>
      <c r="H150" s="5" t="s">
        <v>533</v>
      </c>
      <c r="I150" s="3" t="s">
        <v>425</v>
      </c>
      <c r="J150" s="11" t="s">
        <v>54</v>
      </c>
      <c r="K150" s="17" t="n">
        <v>7.1610000000000005</v>
      </c>
      <c r="L150" s="17" t="n">
        <v>7.1610000000000005</v>
      </c>
      <c r="M150" s="3" t="s">
        <v>21</v>
      </c>
      <c r="N150" s="3" t="s">
        <v>534</v>
      </c>
      <c r="O150" s="3" t="s">
        <v>506</v>
      </c>
      <c r="P150" s="12" t="str">
        <f>HYPERLINK("http://slimages.macys.com/is/image/MCY/1793089 ")</f>
      </c>
    </row>
    <row r="151" spans="1:16" ht="24.75">
      <c r="A151" s="9" t="s">
        <v>535</v>
      </c>
      <c r="B151" s="3" t="s">
        <v>536</v>
      </c>
      <c r="C151" s="5" t="n">
        <v>1.0</v>
      </c>
      <c r="D151" s="6" t="n">
        <v>16.2</v>
      </c>
      <c r="E151" s="6" t="n">
        <v>16.2</v>
      </c>
      <c r="F151" s="10" t="n">
        <v>34.99</v>
      </c>
      <c r="G151" s="6" t="n">
        <v>34.99</v>
      </c>
      <c r="H151" s="5" t="s">
        <v>537</v>
      </c>
      <c r="I151" s="3" t="s">
        <v>35</v>
      </c>
      <c r="J151" s="11" t="s">
        <v>42</v>
      </c>
      <c r="K151" s="17" t="n">
        <v>7.030799999999999</v>
      </c>
      <c r="L151" s="17" t="n">
        <v>7.030799999999999</v>
      </c>
      <c r="M151" s="3" t="s">
        <v>21</v>
      </c>
      <c r="N151" s="3" t="s">
        <v>538</v>
      </c>
      <c r="O151" s="3" t="s">
        <v>539</v>
      </c>
      <c r="P151" s="12" t="str">
        <f>HYPERLINK("http://slimages.macys.com/is/image/MCY/2197140 ")</f>
      </c>
    </row>
    <row r="152" spans="1:16" ht="24.75">
      <c r="A152" s="9" t="s">
        <v>540</v>
      </c>
      <c r="B152" s="3" t="s">
        <v>541</v>
      </c>
      <c r="C152" s="5" t="n">
        <v>1.0</v>
      </c>
      <c r="D152" s="6" t="n">
        <v>16.0</v>
      </c>
      <c r="E152" s="6" t="n">
        <v>16.0</v>
      </c>
      <c r="F152" s="10" t="n">
        <v>34.99</v>
      </c>
      <c r="G152" s="6" t="n">
        <v>34.99</v>
      </c>
      <c r="H152" s="5" t="s">
        <v>542</v>
      </c>
      <c r="I152" s="3" t="s">
        <v>75</v>
      </c>
      <c r="J152" s="11" t="s">
        <v>543</v>
      </c>
      <c r="K152" s="17" t="n">
        <v>6.944000000000001</v>
      </c>
      <c r="L152" s="17" t="n">
        <v>6.944000000000001</v>
      </c>
      <c r="M152" s="3" t="s">
        <v>21</v>
      </c>
      <c r="N152" s="3" t="s">
        <v>240</v>
      </c>
      <c r="O152" s="3" t="s">
        <v>544</v>
      </c>
      <c r="P152" s="12" t="str">
        <f>HYPERLINK("http://slimages.macys.com/is/image/MCY/1467075 ")</f>
      </c>
    </row>
    <row r="153" spans="1:16">
      <c r="A153" s="9" t="s">
        <v>545</v>
      </c>
      <c r="B153" s="3" t="s">
        <v>546</v>
      </c>
      <c r="C153" s="5" t="n">
        <v>4.0</v>
      </c>
      <c r="D153" s="6" t="n">
        <v>16.0</v>
      </c>
      <c r="E153" s="6" t="n">
        <v>64.0</v>
      </c>
      <c r="F153" s="10" t="n">
        <v>38.0</v>
      </c>
      <c r="G153" s="6" t="n">
        <v>152.0</v>
      </c>
      <c r="H153" s="5" t="s">
        <v>547</v>
      </c>
      <c r="I153" s="3" t="s">
        <v>41</v>
      </c>
      <c r="J153" s="11" t="s">
        <v>42</v>
      </c>
      <c r="K153" s="17" t="n">
        <v>6.944000000000001</v>
      </c>
      <c r="L153" s="17" t="n">
        <v>27.776000000000003</v>
      </c>
      <c r="M153" s="3" t="s">
        <v>20</v>
      </c>
      <c r="N153" s="3" t="s">
        <v>443</v>
      </c>
      <c r="O153" s="3" t="s">
        <v>548</v>
      </c>
      <c r="P153" s="12" t="str">
        <f>HYPERLINK("http://images.bloomingdales.com/is/image/BLM/8400088 ")</f>
      </c>
    </row>
    <row r="154" spans="1:16" ht="24.75">
      <c r="A154" s="9" t="s">
        <v>549</v>
      </c>
      <c r="B154" s="3" t="s">
        <v>550</v>
      </c>
      <c r="C154" s="5" t="n">
        <v>1.0</v>
      </c>
      <c r="D154" s="6" t="n">
        <v>16.0</v>
      </c>
      <c r="E154" s="6" t="n">
        <v>16.0</v>
      </c>
      <c r="F154" s="10" t="n">
        <v>34.99</v>
      </c>
      <c r="G154" s="6" t="n">
        <v>34.99</v>
      </c>
      <c r="H154" s="5" t="s">
        <v>542</v>
      </c>
      <c r="I154" s="3" t="s">
        <v>75</v>
      </c>
      <c r="J154" s="11" t="s">
        <v>551</v>
      </c>
      <c r="K154" s="17" t="n">
        <v>6.944000000000001</v>
      </c>
      <c r="L154" s="17" t="n">
        <v>6.944000000000001</v>
      </c>
      <c r="M154" s="3" t="s">
        <v>21</v>
      </c>
      <c r="N154" s="3" t="s">
        <v>240</v>
      </c>
      <c r="O154" s="3" t="s">
        <v>544</v>
      </c>
      <c r="P154" s="12" t="str">
        <f>HYPERLINK("http://slimages.macys.com/is/image/MCY/1467075 ")</f>
      </c>
    </row>
    <row r="155" spans="1:16" ht="24.75">
      <c r="A155" s="9" t="s">
        <v>552</v>
      </c>
      <c r="B155" s="3" t="s">
        <v>553</v>
      </c>
      <c r="C155" s="5" t="n">
        <v>2.0</v>
      </c>
      <c r="D155" s="6" t="n">
        <v>16.0</v>
      </c>
      <c r="E155" s="6" t="n">
        <v>32.0</v>
      </c>
      <c r="F155" s="10" t="n">
        <v>34.99</v>
      </c>
      <c r="G155" s="6" t="n">
        <v>69.98</v>
      </c>
      <c r="H155" s="5" t="s">
        <v>554</v>
      </c>
      <c r="I155" s="3" t="s">
        <v>555</v>
      </c>
      <c r="J155" s="11" t="s">
        <v>551</v>
      </c>
      <c r="K155" s="17" t="n">
        <v>6.944000000000001</v>
      </c>
      <c r="L155" s="17" t="n">
        <v>13.888000000000002</v>
      </c>
      <c r="M155" s="3" t="s">
        <v>21</v>
      </c>
      <c r="N155" s="3" t="s">
        <v>240</v>
      </c>
      <c r="O155" s="3" t="s">
        <v>544</v>
      </c>
      <c r="P155" s="12" t="str">
        <f>HYPERLINK("http://slimages.macys.com/is/image/MCY/2051441 ")</f>
      </c>
    </row>
    <row r="156" spans="1:16" ht="24.75">
      <c r="A156" s="9" t="s">
        <v>556</v>
      </c>
      <c r="B156" s="3" t="s">
        <v>557</v>
      </c>
      <c r="C156" s="5" t="n">
        <v>2.0</v>
      </c>
      <c r="D156" s="6" t="n">
        <v>16.0</v>
      </c>
      <c r="E156" s="6" t="n">
        <v>32.0</v>
      </c>
      <c r="F156" s="10" t="n">
        <v>34.99</v>
      </c>
      <c r="G156" s="6" t="n">
        <v>69.98</v>
      </c>
      <c r="H156" s="5" t="s">
        <v>554</v>
      </c>
      <c r="I156" s="3" t="s">
        <v>41</v>
      </c>
      <c r="J156" s="11" t="s">
        <v>551</v>
      </c>
      <c r="K156" s="17" t="n">
        <v>6.944000000000001</v>
      </c>
      <c r="L156" s="17" t="n">
        <v>13.888000000000002</v>
      </c>
      <c r="M156" s="3" t="s">
        <v>21</v>
      </c>
      <c r="N156" s="3" t="s">
        <v>240</v>
      </c>
      <c r="O156" s="3" t="s">
        <v>544</v>
      </c>
      <c r="P156" s="12" t="str">
        <f>HYPERLINK("http://slimages.macys.com/is/image/MCY/2051441 ")</f>
      </c>
    </row>
    <row r="157" spans="1:16" ht="24.75">
      <c r="A157" s="9" t="s">
        <v>558</v>
      </c>
      <c r="B157" s="3" t="s">
        <v>546</v>
      </c>
      <c r="C157" s="5" t="n">
        <v>1.0</v>
      </c>
      <c r="D157" s="6" t="n">
        <v>16.0</v>
      </c>
      <c r="E157" s="6" t="n">
        <v>16.0</v>
      </c>
      <c r="F157" s="10" t="n">
        <v>38.0</v>
      </c>
      <c r="G157" s="6" t="n">
        <v>38.0</v>
      </c>
      <c r="H157" s="5" t="s">
        <v>547</v>
      </c>
      <c r="I157" s="3" t="s">
        <v>41</v>
      </c>
      <c r="J157" s="11" t="s">
        <v>36</v>
      </c>
      <c r="K157" s="17" t="n">
        <v>6.944000000000001</v>
      </c>
      <c r="L157" s="17" t="n">
        <v>6.944000000000001</v>
      </c>
      <c r="M157" s="3" t="s">
        <v>20</v>
      </c>
      <c r="N157" s="3" t="s">
        <v>443</v>
      </c>
      <c r="O157" s="3" t="s">
        <v>548</v>
      </c>
      <c r="P157" s="12" t="str">
        <f>HYPERLINK("http://images.bloomingdales.com/is/image/BLM/8400088 ")</f>
      </c>
    </row>
    <row r="158" spans="1:16" ht="24.75">
      <c r="A158" s="9" t="s">
        <v>559</v>
      </c>
      <c r="B158" s="3" t="s">
        <v>560</v>
      </c>
      <c r="C158" s="5" t="n">
        <v>1.0</v>
      </c>
      <c r="D158" s="6" t="n">
        <v>16.0</v>
      </c>
      <c r="E158" s="6" t="n">
        <v>16.0</v>
      </c>
      <c r="F158" s="10" t="n">
        <v>34.99</v>
      </c>
      <c r="G158" s="6" t="n">
        <v>34.99</v>
      </c>
      <c r="H158" s="5" t="s">
        <v>561</v>
      </c>
      <c r="I158" s="3" t="s">
        <v>41</v>
      </c>
      <c r="J158" s="11" t="s">
        <v>144</v>
      </c>
      <c r="K158" s="17" t="n">
        <v>6.944000000000001</v>
      </c>
      <c r="L158" s="17" t="n">
        <v>6.944000000000001</v>
      </c>
      <c r="M158" s="3" t="s">
        <v>21</v>
      </c>
      <c r="N158" s="3" t="s">
        <v>538</v>
      </c>
      <c r="O158" s="3" t="s">
        <v>539</v>
      </c>
      <c r="P158" s="12" t="str">
        <f>HYPERLINK("http://slimages.macys.com/is/image/MCY/2140742 ")</f>
      </c>
    </row>
    <row r="159" spans="1:16" ht="24.75">
      <c r="A159" s="9" t="s">
        <v>562</v>
      </c>
      <c r="B159" s="3" t="s">
        <v>563</v>
      </c>
      <c r="C159" s="5" t="n">
        <v>1.0</v>
      </c>
      <c r="D159" s="6" t="n">
        <v>16.0</v>
      </c>
      <c r="E159" s="6" t="n">
        <v>16.0</v>
      </c>
      <c r="F159" s="10" t="n">
        <v>29.99</v>
      </c>
      <c r="G159" s="6" t="n">
        <v>29.99</v>
      </c>
      <c r="H159" s="5" t="s">
        <v>564</v>
      </c>
      <c r="I159" s="3" t="s">
        <v>153</v>
      </c>
      <c r="J159" s="11" t="s">
        <v>116</v>
      </c>
      <c r="K159" s="17" t="n">
        <v>6.944000000000001</v>
      </c>
      <c r="L159" s="17" t="n">
        <v>6.944000000000001</v>
      </c>
      <c r="M159" s="3" t="s">
        <v>21</v>
      </c>
      <c r="N159" s="3" t="s">
        <v>348</v>
      </c>
      <c r="O159" s="3" t="s">
        <v>565</v>
      </c>
      <c r="P159" s="12" t="str">
        <f>HYPERLINK("http://slimages.macys.com/is/image/MCY/727499 ")</f>
      </c>
    </row>
    <row r="160" spans="1:16" ht="24.75">
      <c r="A160" s="9" t="s">
        <v>566</v>
      </c>
      <c r="B160" s="3" t="s">
        <v>567</v>
      </c>
      <c r="C160" s="5" t="n">
        <v>2.0</v>
      </c>
      <c r="D160" s="6" t="n">
        <v>16.0</v>
      </c>
      <c r="E160" s="6" t="n">
        <v>32.0</v>
      </c>
      <c r="F160" s="10" t="n">
        <v>34.99</v>
      </c>
      <c r="G160" s="6" t="n">
        <v>69.98</v>
      </c>
      <c r="H160" s="5" t="s">
        <v>554</v>
      </c>
      <c r="I160" s="3" t="s">
        <v>555</v>
      </c>
      <c r="J160" s="11" t="s">
        <v>543</v>
      </c>
      <c r="K160" s="17" t="n">
        <v>6.944000000000001</v>
      </c>
      <c r="L160" s="17" t="n">
        <v>13.888000000000002</v>
      </c>
      <c r="M160" s="3" t="s">
        <v>21</v>
      </c>
      <c r="N160" s="3" t="s">
        <v>240</v>
      </c>
      <c r="O160" s="3" t="s">
        <v>544</v>
      </c>
      <c r="P160" s="12" t="str">
        <f>HYPERLINK("http://slimages.macys.com/is/image/MCY/2051441 ")</f>
      </c>
    </row>
    <row r="161" spans="1:16" ht="24.75">
      <c r="A161" s="9" t="s">
        <v>568</v>
      </c>
      <c r="B161" s="3" t="s">
        <v>569</v>
      </c>
      <c r="C161" s="5" t="n">
        <v>2.0</v>
      </c>
      <c r="D161" s="6" t="n">
        <v>16.0</v>
      </c>
      <c r="E161" s="6" t="n">
        <v>32.0</v>
      </c>
      <c r="F161" s="10" t="n">
        <v>34.99</v>
      </c>
      <c r="G161" s="6" t="n">
        <v>69.98</v>
      </c>
      <c r="H161" s="5" t="s">
        <v>554</v>
      </c>
      <c r="I161" s="3" t="s">
        <v>41</v>
      </c>
      <c r="J161" s="11" t="s">
        <v>543</v>
      </c>
      <c r="K161" s="17" t="n">
        <v>6.944000000000001</v>
      </c>
      <c r="L161" s="17" t="n">
        <v>13.888000000000002</v>
      </c>
      <c r="M161" s="3" t="s">
        <v>21</v>
      </c>
      <c r="N161" s="3" t="s">
        <v>240</v>
      </c>
      <c r="O161" s="3" t="s">
        <v>544</v>
      </c>
      <c r="P161" s="12" t="str">
        <f>HYPERLINK("http://slimages.macys.com/is/image/MCY/2051441 ")</f>
      </c>
    </row>
    <row r="162" spans="1:16" ht="24.75">
      <c r="A162" s="9" t="s">
        <v>570</v>
      </c>
      <c r="B162" s="3" t="s">
        <v>546</v>
      </c>
      <c r="C162" s="5" t="n">
        <v>2.0</v>
      </c>
      <c r="D162" s="6" t="n">
        <v>16.0</v>
      </c>
      <c r="E162" s="6" t="n">
        <v>32.0</v>
      </c>
      <c r="F162" s="10" t="n">
        <v>38.0</v>
      </c>
      <c r="G162" s="6" t="n">
        <v>76.0</v>
      </c>
      <c r="H162" s="5" t="s">
        <v>547</v>
      </c>
      <c r="I162" s="3" t="s">
        <v>41</v>
      </c>
      <c r="J162" s="11" t="s">
        <v>51</v>
      </c>
      <c r="K162" s="17" t="n">
        <v>6.944000000000001</v>
      </c>
      <c r="L162" s="17" t="n">
        <v>13.888000000000002</v>
      </c>
      <c r="M162" s="3" t="s">
        <v>20</v>
      </c>
      <c r="N162" s="3" t="s">
        <v>443</v>
      </c>
      <c r="O162" s="3" t="s">
        <v>548</v>
      </c>
      <c r="P162" s="12" t="str">
        <f>HYPERLINK("http://images.bloomingdales.com/is/image/BLM/8400088 ")</f>
      </c>
    </row>
    <row r="163" spans="1:16" ht="24.75">
      <c r="A163" s="9" t="s">
        <v>571</v>
      </c>
      <c r="B163" s="3" t="s">
        <v>572</v>
      </c>
      <c r="C163" s="5" t="n">
        <v>1.0</v>
      </c>
      <c r="D163" s="6" t="n">
        <v>15.75</v>
      </c>
      <c r="E163" s="6" t="n">
        <v>15.75</v>
      </c>
      <c r="F163" s="10" t="n">
        <v>35.0</v>
      </c>
      <c r="G163" s="6" t="n">
        <v>35.0</v>
      </c>
      <c r="H163" s="5" t="s">
        <v>573</v>
      </c>
      <c r="I163" s="3" t="s">
        <v>69</v>
      </c>
      <c r="J163" s="11" t="s">
        <v>426</v>
      </c>
      <c r="K163" s="17" t="n">
        <v>6.835500000000001</v>
      </c>
      <c r="L163" s="17" t="n">
        <v>6.835500000000001</v>
      </c>
      <c r="M163" s="3" t="s">
        <v>21</v>
      </c>
      <c r="N163" s="3" t="s">
        <v>260</v>
      </c>
      <c r="O163" s="3" t="s">
        <v>261</v>
      </c>
      <c r="P163" s="12" t="str">
        <f>HYPERLINK("http://slimages.macys.com/is/image/MCY/2077638 ")</f>
      </c>
    </row>
    <row r="164" spans="1:16" ht="24.75">
      <c r="A164" s="9" t="s">
        <v>574</v>
      </c>
      <c r="B164" s="3" t="s">
        <v>575</v>
      </c>
      <c r="C164" s="5" t="n">
        <v>1.0</v>
      </c>
      <c r="D164" s="6" t="n">
        <v>15.6</v>
      </c>
      <c r="E164" s="6" t="n">
        <v>15.6</v>
      </c>
      <c r="F164" s="10" t="n">
        <v>39.99</v>
      </c>
      <c r="G164" s="6" t="n">
        <v>39.99</v>
      </c>
      <c r="H164" s="5" t="s">
        <v>576</v>
      </c>
      <c r="I164" s="3" t="s">
        <v>210</v>
      </c>
      <c r="J164" s="11" t="s">
        <v>51</v>
      </c>
      <c r="K164" s="17" t="n">
        <v>6.7704</v>
      </c>
      <c r="L164" s="17" t="n">
        <v>6.7704</v>
      </c>
      <c r="M164" s="3" t="s">
        <v>21</v>
      </c>
      <c r="N164" s="3" t="s">
        <v>408</v>
      </c>
      <c r="O164" s="3" t="s">
        <v>577</v>
      </c>
      <c r="P164" s="12" t="str">
        <f>HYPERLINK("http://slimages.macys.com/is/image/MCY/2075843 ")</f>
      </c>
    </row>
    <row r="165" spans="1:16" ht="24.75">
      <c r="A165" s="9" t="s">
        <v>578</v>
      </c>
      <c r="B165" s="3" t="s">
        <v>579</v>
      </c>
      <c r="C165" s="5" t="n">
        <v>1.0</v>
      </c>
      <c r="D165" s="6" t="n">
        <v>15.5</v>
      </c>
      <c r="E165" s="6" t="n">
        <v>15.5</v>
      </c>
      <c r="F165" s="10" t="n">
        <v>31.99</v>
      </c>
      <c r="G165" s="6" t="n">
        <v>31.99</v>
      </c>
      <c r="H165" s="5" t="s">
        <v>580</v>
      </c>
      <c r="I165" s="3" t="s">
        <v>387</v>
      </c>
      <c r="J165" s="11" t="s">
        <v>509</v>
      </c>
      <c r="K165" s="17" t="n">
        <v>6.727</v>
      </c>
      <c r="L165" s="17" t="n">
        <v>6.727</v>
      </c>
      <c r="M165" s="3" t="s">
        <v>21</v>
      </c>
      <c r="N165" s="3" t="s">
        <v>348</v>
      </c>
      <c r="O165" s="3" t="s">
        <v>349</v>
      </c>
      <c r="P165" s="12" t="str">
        <f>HYPERLINK("http://slimages.macys.com/is/image/MCY/737836 ")</f>
      </c>
    </row>
    <row r="166" spans="1:16" ht="24.75">
      <c r="A166" s="9" t="s">
        <v>581</v>
      </c>
      <c r="B166" s="3" t="s">
        <v>582</v>
      </c>
      <c r="C166" s="5" t="n">
        <v>1.0</v>
      </c>
      <c r="D166" s="6" t="n">
        <v>15.5</v>
      </c>
      <c r="E166" s="6" t="n">
        <v>15.5</v>
      </c>
      <c r="F166" s="10" t="n">
        <v>29.98</v>
      </c>
      <c r="G166" s="6" t="n">
        <v>29.98</v>
      </c>
      <c r="H166" s="5" t="s">
        <v>583</v>
      </c>
      <c r="I166" s="3" t="s">
        <v>147</v>
      </c>
      <c r="J166" s="11" t="s">
        <v>51</v>
      </c>
      <c r="K166" s="17" t="n">
        <v>6.727</v>
      </c>
      <c r="L166" s="17" t="n">
        <v>6.727</v>
      </c>
      <c r="M166" s="3" t="s">
        <v>21</v>
      </c>
      <c r="N166" s="3" t="s">
        <v>413</v>
      </c>
      <c r="O166" s="3" t="s">
        <v>403</v>
      </c>
      <c r="P166" s="12" t="str">
        <f>HYPERLINK("http://slimages.macys.com/is/image/MCY/1892661 ")</f>
      </c>
    </row>
    <row r="167" spans="1:16" ht="24.75">
      <c r="A167" s="9" t="s">
        <v>584</v>
      </c>
      <c r="B167" s="3" t="s">
        <v>585</v>
      </c>
      <c r="C167" s="5" t="n">
        <v>1.0</v>
      </c>
      <c r="D167" s="6" t="n">
        <v>15.25</v>
      </c>
      <c r="E167" s="6" t="n">
        <v>15.25</v>
      </c>
      <c r="F167" s="10" t="n">
        <v>39.98</v>
      </c>
      <c r="G167" s="6" t="n">
        <v>39.98</v>
      </c>
      <c r="H167" s="5" t="s">
        <v>586</v>
      </c>
      <c r="I167" s="3" t="s">
        <v>265</v>
      </c>
      <c r="J167" s="11" t="s">
        <v>114</v>
      </c>
      <c r="K167" s="17" t="n">
        <v>6.618499999999999</v>
      </c>
      <c r="L167" s="17" t="n">
        <v>6.618499999999999</v>
      </c>
      <c r="M167" s="3" t="s">
        <v>21</v>
      </c>
      <c r="N167" s="3" t="s">
        <v>217</v>
      </c>
      <c r="O167" s="3" t="s">
        <v>218</v>
      </c>
      <c r="P167" s="12" t="str">
        <f>HYPERLINK("http://slimages.macys.com/is/image/MCY/1705103 ")</f>
      </c>
    </row>
    <row r="168" spans="1:16" ht="24.75">
      <c r="A168" s="9" t="s">
        <v>587</v>
      </c>
      <c r="B168" s="3" t="s">
        <v>588</v>
      </c>
      <c r="C168" s="5" t="n">
        <v>1.0</v>
      </c>
      <c r="D168" s="6" t="n">
        <v>15.25</v>
      </c>
      <c r="E168" s="6" t="n">
        <v>15.25</v>
      </c>
      <c r="F168" s="10" t="n">
        <v>39.98</v>
      </c>
      <c r="G168" s="6" t="n">
        <v>39.98</v>
      </c>
      <c r="H168" s="5" t="s">
        <v>589</v>
      </c>
      <c r="I168" s="3" t="s">
        <v>265</v>
      </c>
      <c r="J168" s="11" t="s">
        <v>590</v>
      </c>
      <c r="K168" s="17" t="n">
        <v>6.618499999999999</v>
      </c>
      <c r="L168" s="17" t="n">
        <v>6.618499999999999</v>
      </c>
      <c r="M168" s="3" t="s">
        <v>21</v>
      </c>
      <c r="N168" s="3" t="s">
        <v>217</v>
      </c>
      <c r="O168" s="3" t="s">
        <v>218</v>
      </c>
      <c r="P168" s="12" t="str">
        <f>HYPERLINK("http://slimages.macys.com/is/image/MCY/1497872 ")</f>
      </c>
    </row>
    <row r="169" spans="1:16">
      <c r="A169" s="9" t="s">
        <v>591</v>
      </c>
      <c r="B169" s="3" t="s">
        <v>592</v>
      </c>
      <c r="C169" s="5" t="n">
        <v>1.0</v>
      </c>
      <c r="D169" s="6" t="n">
        <v>15.0</v>
      </c>
      <c r="E169" s="6" t="n">
        <v>15.0</v>
      </c>
      <c r="F169" s="10" t="n">
        <v>44.0</v>
      </c>
      <c r="G169" s="6" t="n">
        <v>44.0</v>
      </c>
      <c r="H169" s="5" t="s">
        <v>593</v>
      </c>
      <c r="I169" s="3" t="s">
        <v>1033</v>
      </c>
      <c r="J169" s="11" t="s">
        <v>36</v>
      </c>
      <c r="K169" s="17" t="n">
        <v>6.510000000000001</v>
      </c>
      <c r="L169" s="17" t="n">
        <v>6.510000000000001</v>
      </c>
      <c r="M169" s="3" t="s">
        <v>20</v>
      </c>
      <c r="N169" s="3" t="s">
        <v>443</v>
      </c>
      <c r="O169" s="3" t="s">
        <v>594</v>
      </c>
      <c r="P169" s="12" t="str">
        <f>HYPERLINK("http://images.bloomingdales.com/is/image/BLM/8540962 ")</f>
      </c>
    </row>
    <row r="170" spans="1:16" ht="24.75">
      <c r="A170" s="9" t="s">
        <v>595</v>
      </c>
      <c r="B170" s="3" t="s">
        <v>596</v>
      </c>
      <c r="C170" s="5" t="n">
        <v>1.0</v>
      </c>
      <c r="D170" s="6" t="n">
        <v>15.0</v>
      </c>
      <c r="E170" s="6" t="n">
        <v>15.0</v>
      </c>
      <c r="F170" s="10" t="n">
        <v>34.99</v>
      </c>
      <c r="G170" s="6" t="n">
        <v>34.99</v>
      </c>
      <c r="H170" s="5" t="s">
        <v>597</v>
      </c>
      <c r="I170" s="3" t="s">
        <v>47</v>
      </c>
      <c r="J170" s="11" t="s">
        <v>36</v>
      </c>
      <c r="K170" s="17" t="n">
        <v>6.510000000000001</v>
      </c>
      <c r="L170" s="17" t="n">
        <v>6.510000000000001</v>
      </c>
      <c r="M170" s="3" t="s">
        <v>21</v>
      </c>
      <c r="N170" s="3" t="s">
        <v>420</v>
      </c>
      <c r="O170" s="3" t="s">
        <v>421</v>
      </c>
      <c r="P170" s="12" t="str">
        <f>HYPERLINK("http://slimages.macys.com/is/image/MCY/1774147 ")</f>
      </c>
    </row>
    <row r="171" spans="1:16" ht="24.75">
      <c r="A171" s="9" t="s">
        <v>598</v>
      </c>
      <c r="B171" s="3" t="s">
        <v>599</v>
      </c>
      <c r="C171" s="5" t="n">
        <v>1.0</v>
      </c>
      <c r="D171" s="6" t="n">
        <v>15.0</v>
      </c>
      <c r="E171" s="6" t="n">
        <v>15.0</v>
      </c>
      <c r="F171" s="10" t="n">
        <v>49.5</v>
      </c>
      <c r="G171" s="6" t="n">
        <v>49.5</v>
      </c>
      <c r="H171" s="5" t="s">
        <v>600</v>
      </c>
      <c r="I171" s="3" t="s">
        <v>173</v>
      </c>
      <c r="J171" s="11" t="s">
        <v>601</v>
      </c>
      <c r="K171" s="17" t="n">
        <v>6.510000000000001</v>
      </c>
      <c r="L171" s="17" t="n">
        <v>6.510000000000001</v>
      </c>
      <c r="M171" s="3" t="s">
        <v>21</v>
      </c>
      <c r="N171" s="3" t="s">
        <v>248</v>
      </c>
      <c r="O171" s="3" t="s">
        <v>249</v>
      </c>
      <c r="P171" s="12" t="str">
        <f>HYPERLINK("http://slimages.macys.com/is/image/MCY/1097919 ")</f>
      </c>
    </row>
    <row r="172" spans="1:16" ht="24.75">
      <c r="A172" s="9" t="s">
        <v>602</v>
      </c>
      <c r="B172" s="3" t="s">
        <v>603</v>
      </c>
      <c r="C172" s="5" t="n">
        <v>1.0</v>
      </c>
      <c r="D172" s="6" t="n">
        <v>14.96</v>
      </c>
      <c r="E172" s="6" t="n">
        <v>14.96</v>
      </c>
      <c r="F172" s="10" t="n">
        <v>44.0</v>
      </c>
      <c r="G172" s="6" t="n">
        <v>44.0</v>
      </c>
      <c r="H172" s="5" t="n">
        <v>19700.0</v>
      </c>
      <c r="I172" s="3" t="s">
        <v>604</v>
      </c>
      <c r="J172" s="11" t="s">
        <v>42</v>
      </c>
      <c r="K172" s="17" t="n">
        <v>6.49264</v>
      </c>
      <c r="L172" s="17" t="n">
        <v>6.49264</v>
      </c>
      <c r="M172" s="3" t="s">
        <v>20</v>
      </c>
      <c r="N172" s="3" t="s">
        <v>443</v>
      </c>
      <c r="O172" s="3" t="s">
        <v>594</v>
      </c>
      <c r="P172" s="12" t="str">
        <f>HYPERLINK("http://slimages.macys.com/is/image/MCY/2019314 ")</f>
      </c>
    </row>
    <row r="173" spans="1:16" ht="24.75">
      <c r="A173" s="9" t="s">
        <v>605</v>
      </c>
      <c r="B173" s="3" t="s">
        <v>606</v>
      </c>
      <c r="C173" s="5" t="n">
        <v>1.0</v>
      </c>
      <c r="D173" s="6" t="n">
        <v>14.5</v>
      </c>
      <c r="E173" s="6" t="n">
        <v>14.5</v>
      </c>
      <c r="F173" s="10" t="n">
        <v>31.99</v>
      </c>
      <c r="G173" s="6" t="n">
        <v>31.99</v>
      </c>
      <c r="H173" s="5" t="s">
        <v>607</v>
      </c>
      <c r="I173" s="3" t="s">
        <v>47</v>
      </c>
      <c r="J173" s="11" t="s">
        <v>608</v>
      </c>
      <c r="K173" s="17" t="n">
        <v>6.292999999999999</v>
      </c>
      <c r="L173" s="17" t="n">
        <v>6.292999999999999</v>
      </c>
      <c r="M173" s="3" t="s">
        <v>21</v>
      </c>
      <c r="N173" s="3" t="s">
        <v>408</v>
      </c>
      <c r="O173" s="3" t="s">
        <v>609</v>
      </c>
      <c r="P173" s="12" t="str">
        <f>HYPERLINK("http://slimages.macys.com/is/image/MCY/2086574 ")</f>
      </c>
    </row>
    <row r="174" spans="1:16" ht="24.75">
      <c r="A174" s="9" t="s">
        <v>610</v>
      </c>
      <c r="B174" s="3" t="s">
        <v>611</v>
      </c>
      <c r="C174" s="5" t="n">
        <v>1.0</v>
      </c>
      <c r="D174" s="6" t="n">
        <v>14.5</v>
      </c>
      <c r="E174" s="6" t="n">
        <v>14.5</v>
      </c>
      <c r="F174" s="10" t="n">
        <v>42.0</v>
      </c>
      <c r="G174" s="6" t="n">
        <v>42.0</v>
      </c>
      <c r="H174" s="5" t="n">
        <v>123380.0</v>
      </c>
      <c r="I174" s="3" t="s">
        <v>196</v>
      </c>
      <c r="J174" s="11" t="s">
        <v>42</v>
      </c>
      <c r="K174" s="17" t="n">
        <v>6.292999999999999</v>
      </c>
      <c r="L174" s="17" t="n">
        <v>6.292999999999999</v>
      </c>
      <c r="M174" s="3" t="s">
        <v>20</v>
      </c>
      <c r="N174" s="3" t="s">
        <v>443</v>
      </c>
      <c r="O174" s="3" t="s">
        <v>594</v>
      </c>
      <c r="P174" s="12" t="str">
        <f>HYPERLINK("http://images.bloomingdales.com/is/image/BLM/8540963 ")</f>
      </c>
    </row>
    <row r="175" spans="1:16" ht="24.75">
      <c r="A175" s="9" t="s">
        <v>612</v>
      </c>
      <c r="B175" s="3" t="s">
        <v>613</v>
      </c>
      <c r="C175" s="5" t="n">
        <v>1.0</v>
      </c>
      <c r="D175" s="6" t="n">
        <v>14.0</v>
      </c>
      <c r="E175" s="6" t="n">
        <v>14.0</v>
      </c>
      <c r="F175" s="10" t="n">
        <v>27.99</v>
      </c>
      <c r="G175" s="6" t="n">
        <v>27.99</v>
      </c>
      <c r="H175" s="5" t="s">
        <v>614</v>
      </c>
      <c r="I175" s="3" t="s">
        <v>47</v>
      </c>
      <c r="J175" s="11" t="s">
        <v>1033</v>
      </c>
      <c r="K175" s="17" t="n">
        <v>6.076</v>
      </c>
      <c r="L175" s="17" t="n">
        <v>6.076</v>
      </c>
      <c r="M175" s="3" t="s">
        <v>21</v>
      </c>
      <c r="N175" s="3" t="s">
        <v>77</v>
      </c>
      <c r="O175" s="3" t="s">
        <v>615</v>
      </c>
      <c r="P175" s="12" t="str">
        <f>HYPERLINK("http://slimages.macys.com/is/image/MCY/1694458 ")</f>
      </c>
    </row>
    <row r="176" spans="1:16" ht="24.75">
      <c r="A176" s="9" t="s">
        <v>616</v>
      </c>
      <c r="B176" s="3" t="s">
        <v>617</v>
      </c>
      <c r="C176" s="5" t="n">
        <v>1.0</v>
      </c>
      <c r="D176" s="6" t="n">
        <v>14.0</v>
      </c>
      <c r="E176" s="6" t="n">
        <v>14.0</v>
      </c>
      <c r="F176" s="10" t="n">
        <v>27.99</v>
      </c>
      <c r="G176" s="6" t="n">
        <v>27.99</v>
      </c>
      <c r="H176" s="5" t="s">
        <v>618</v>
      </c>
      <c r="I176" s="3" t="s">
        <v>475</v>
      </c>
      <c r="J176" s="11" t="s">
        <v>1033</v>
      </c>
      <c r="K176" s="17" t="n">
        <v>6.076</v>
      </c>
      <c r="L176" s="17" t="n">
        <v>6.076</v>
      </c>
      <c r="M176" s="3" t="s">
        <v>21</v>
      </c>
      <c r="N176" s="3" t="s">
        <v>77</v>
      </c>
      <c r="O176" s="3" t="s">
        <v>615</v>
      </c>
      <c r="P176" s="12" t="str">
        <f>HYPERLINK("http://slimages.macys.com/is/image/MCY/1694458 ")</f>
      </c>
    </row>
    <row r="177" spans="1:16" ht="24.75">
      <c r="A177" s="9" t="s">
        <v>619</v>
      </c>
      <c r="B177" s="3" t="s">
        <v>620</v>
      </c>
      <c r="C177" s="5" t="n">
        <v>1.0</v>
      </c>
      <c r="D177" s="6" t="n">
        <v>14.0</v>
      </c>
      <c r="E177" s="6" t="n">
        <v>14.0</v>
      </c>
      <c r="F177" s="10" t="n">
        <v>27.99</v>
      </c>
      <c r="G177" s="6" t="n">
        <v>27.99</v>
      </c>
      <c r="H177" s="5" t="s">
        <v>621</v>
      </c>
      <c r="I177" s="3" t="s">
        <v>113</v>
      </c>
      <c r="J177" s="11" t="s">
        <v>1033</v>
      </c>
      <c r="K177" s="17" t="n">
        <v>6.076</v>
      </c>
      <c r="L177" s="17" t="n">
        <v>6.076</v>
      </c>
      <c r="M177" s="3" t="s">
        <v>21</v>
      </c>
      <c r="N177" s="3" t="s">
        <v>77</v>
      </c>
      <c r="O177" s="3" t="s">
        <v>615</v>
      </c>
      <c r="P177" s="12" t="str">
        <f>HYPERLINK("http://slimages.macys.com/is/image/MCY/1694458 ")</f>
      </c>
    </row>
    <row r="178" spans="1:16" ht="24.75">
      <c r="A178" s="9" t="s">
        <v>622</v>
      </c>
      <c r="B178" s="3" t="s">
        <v>623</v>
      </c>
      <c r="C178" s="5" t="n">
        <v>1.0</v>
      </c>
      <c r="D178" s="6" t="n">
        <v>14.0</v>
      </c>
      <c r="E178" s="6" t="n">
        <v>14.0</v>
      </c>
      <c r="F178" s="10" t="n">
        <v>29.99</v>
      </c>
      <c r="G178" s="6" t="n">
        <v>29.99</v>
      </c>
      <c r="H178" s="5" t="s">
        <v>624</v>
      </c>
      <c r="I178" s="3" t="s">
        <v>173</v>
      </c>
      <c r="J178" s="11" t="s">
        <v>36</v>
      </c>
      <c r="K178" s="17" t="n">
        <v>6.076</v>
      </c>
      <c r="L178" s="17" t="n">
        <v>6.076</v>
      </c>
      <c r="M178" s="3" t="s">
        <v>21</v>
      </c>
      <c r="N178" s="3" t="s">
        <v>625</v>
      </c>
      <c r="O178" s="3" t="s">
        <v>626</v>
      </c>
      <c r="P178" s="12" t="str">
        <f>HYPERLINK("http://slimages.macys.com/is/image/MCY/1936069 ")</f>
      </c>
    </row>
    <row r="179" spans="1:16" ht="24.75">
      <c r="A179" s="9" t="s">
        <v>627</v>
      </c>
      <c r="B179" s="3" t="s">
        <v>628</v>
      </c>
      <c r="C179" s="5" t="n">
        <v>2.0</v>
      </c>
      <c r="D179" s="6" t="n">
        <v>14.0</v>
      </c>
      <c r="E179" s="6" t="n">
        <v>28.0</v>
      </c>
      <c r="F179" s="10" t="n">
        <v>29.99</v>
      </c>
      <c r="G179" s="6" t="n">
        <v>59.98</v>
      </c>
      <c r="H179" s="5" t="s">
        <v>629</v>
      </c>
      <c r="I179" s="3" t="s">
        <v>123</v>
      </c>
      <c r="J179" s="11" t="s">
        <v>1033</v>
      </c>
      <c r="K179" s="17" t="n">
        <v>6.076</v>
      </c>
      <c r="L179" s="17" t="n">
        <v>12.152</v>
      </c>
      <c r="M179" s="3" t="s">
        <v>21</v>
      </c>
      <c r="N179" s="3" t="s">
        <v>240</v>
      </c>
      <c r="O179" s="3" t="s">
        <v>630</v>
      </c>
      <c r="P179" s="12" t="str">
        <f>HYPERLINK("http://slimages.macys.com/is/image/MCY/1377840 ")</f>
      </c>
    </row>
    <row r="180" spans="1:16" ht="24.75">
      <c r="A180" s="9" t="s">
        <v>631</v>
      </c>
      <c r="B180" s="3" t="s">
        <v>632</v>
      </c>
      <c r="C180" s="5" t="n">
        <v>2.0</v>
      </c>
      <c r="D180" s="6" t="n">
        <v>14.0</v>
      </c>
      <c r="E180" s="6" t="n">
        <v>28.0</v>
      </c>
      <c r="F180" s="10" t="n">
        <v>29.99</v>
      </c>
      <c r="G180" s="6" t="n">
        <v>59.98</v>
      </c>
      <c r="H180" s="5" t="s">
        <v>629</v>
      </c>
      <c r="I180" s="3" t="s">
        <v>123</v>
      </c>
      <c r="J180" s="11" t="s">
        <v>83</v>
      </c>
      <c r="K180" s="17" t="n">
        <v>6.076</v>
      </c>
      <c r="L180" s="17" t="n">
        <v>12.152</v>
      </c>
      <c r="M180" s="3" t="s">
        <v>21</v>
      </c>
      <c r="N180" s="3" t="s">
        <v>240</v>
      </c>
      <c r="O180" s="3" t="s">
        <v>630</v>
      </c>
      <c r="P180" s="12" t="str">
        <f>HYPERLINK("http://slimages.macys.com/is/image/MCY/1377840 ")</f>
      </c>
    </row>
    <row r="181" spans="1:16" ht="24.75">
      <c r="A181" s="9" t="s">
        <v>633</v>
      </c>
      <c r="B181" s="3" t="s">
        <v>634</v>
      </c>
      <c r="C181" s="5" t="n">
        <v>2.0</v>
      </c>
      <c r="D181" s="6" t="n">
        <v>14.0</v>
      </c>
      <c r="E181" s="6" t="n">
        <v>28.0</v>
      </c>
      <c r="F181" s="10" t="n">
        <v>29.99</v>
      </c>
      <c r="G181" s="6" t="n">
        <v>59.98</v>
      </c>
      <c r="H181" s="5" t="s">
        <v>629</v>
      </c>
      <c r="I181" s="3" t="s">
        <v>47</v>
      </c>
      <c r="J181" s="11" t="s">
        <v>83</v>
      </c>
      <c r="K181" s="17" t="n">
        <v>6.076</v>
      </c>
      <c r="L181" s="17" t="n">
        <v>12.152</v>
      </c>
      <c r="M181" s="3" t="s">
        <v>21</v>
      </c>
      <c r="N181" s="3" t="s">
        <v>240</v>
      </c>
      <c r="O181" s="3" t="s">
        <v>630</v>
      </c>
      <c r="P181" s="12" t="str">
        <f>HYPERLINK("http://slimages.macys.com/is/image/MCY/1377840 ")</f>
      </c>
    </row>
    <row r="182" spans="1:16" ht="24.75">
      <c r="A182" s="9" t="s">
        <v>635</v>
      </c>
      <c r="B182" s="3" t="s">
        <v>636</v>
      </c>
      <c r="C182" s="5" t="n">
        <v>2.0</v>
      </c>
      <c r="D182" s="6" t="n">
        <v>14.0</v>
      </c>
      <c r="E182" s="6" t="n">
        <v>28.0</v>
      </c>
      <c r="F182" s="10" t="n">
        <v>29.99</v>
      </c>
      <c r="G182" s="6" t="n">
        <v>59.98</v>
      </c>
      <c r="H182" s="5" t="s">
        <v>629</v>
      </c>
      <c r="I182" s="3" t="s">
        <v>47</v>
      </c>
      <c r="J182" s="11" t="s">
        <v>1033</v>
      </c>
      <c r="K182" s="17" t="n">
        <v>6.076</v>
      </c>
      <c r="L182" s="17" t="n">
        <v>12.152</v>
      </c>
      <c r="M182" s="3" t="s">
        <v>21</v>
      </c>
      <c r="N182" s="3" t="s">
        <v>240</v>
      </c>
      <c r="O182" s="3" t="s">
        <v>630</v>
      </c>
      <c r="P182" s="12" t="str">
        <f>HYPERLINK("http://slimages.macys.com/is/image/MCY/1377840 ")</f>
      </c>
    </row>
    <row r="183" spans="1:16" ht="24.75">
      <c r="A183" s="9" t="s">
        <v>637</v>
      </c>
      <c r="B183" s="3" t="s">
        <v>638</v>
      </c>
      <c r="C183" s="5" t="n">
        <v>1.0</v>
      </c>
      <c r="D183" s="6" t="n">
        <v>13.5</v>
      </c>
      <c r="E183" s="6" t="n">
        <v>13.5</v>
      </c>
      <c r="F183" s="10" t="n">
        <v>38.0</v>
      </c>
      <c r="G183" s="6" t="n">
        <v>38.0</v>
      </c>
      <c r="H183" s="5" t="s">
        <v>639</v>
      </c>
      <c r="I183" s="3" t="s">
        <v>265</v>
      </c>
      <c r="J183" s="11" t="s">
        <v>51</v>
      </c>
      <c r="K183" s="17" t="n">
        <v>5.859</v>
      </c>
      <c r="L183" s="17" t="n">
        <v>5.859</v>
      </c>
      <c r="M183" s="3" t="s">
        <v>20</v>
      </c>
      <c r="N183" s="3" t="s">
        <v>443</v>
      </c>
      <c r="O183" s="3" t="s">
        <v>640</v>
      </c>
      <c r="P183" s="12" t="str">
        <f>HYPERLINK("http://images.bloomingdales.com/is/image/BLM/8519899 ")</f>
      </c>
    </row>
    <row r="184" spans="1:16" ht="24.75">
      <c r="A184" s="9" t="s">
        <v>641</v>
      </c>
      <c r="B184" s="3" t="s">
        <v>642</v>
      </c>
      <c r="C184" s="5" t="n">
        <v>1.0</v>
      </c>
      <c r="D184" s="6" t="n">
        <v>13.5</v>
      </c>
      <c r="E184" s="6" t="n">
        <v>13.5</v>
      </c>
      <c r="F184" s="10" t="n">
        <v>29.99</v>
      </c>
      <c r="G184" s="6" t="n">
        <v>29.99</v>
      </c>
      <c r="H184" s="5" t="s">
        <v>643</v>
      </c>
      <c r="I184" s="3" t="s">
        <v>644</v>
      </c>
      <c r="J184" s="11" t="s">
        <v>91</v>
      </c>
      <c r="K184" s="17" t="n">
        <v>5.859</v>
      </c>
      <c r="L184" s="17" t="n">
        <v>5.859</v>
      </c>
      <c r="M184" s="3" t="s">
        <v>21</v>
      </c>
      <c r="N184" s="3" t="s">
        <v>645</v>
      </c>
      <c r="O184" s="3" t="s">
        <v>506</v>
      </c>
      <c r="P184" s="12" t="str">
        <f>HYPERLINK("http://slimages.macys.com/is/image/MCY/1498464 ")</f>
      </c>
    </row>
    <row r="185" spans="1:16" ht="24.75">
      <c r="A185" s="9" t="s">
        <v>646</v>
      </c>
      <c r="B185" s="3" t="s">
        <v>647</v>
      </c>
      <c r="C185" s="5" t="n">
        <v>1.0</v>
      </c>
      <c r="D185" s="6" t="n">
        <v>13.5</v>
      </c>
      <c r="E185" s="6" t="n">
        <v>13.5</v>
      </c>
      <c r="F185" s="10" t="n">
        <v>38.0</v>
      </c>
      <c r="G185" s="6" t="n">
        <v>38.0</v>
      </c>
      <c r="H185" s="5" t="s">
        <v>648</v>
      </c>
      <c r="I185" s="3" t="s">
        <v>644</v>
      </c>
      <c r="J185" s="11" t="s">
        <v>51</v>
      </c>
      <c r="K185" s="17" t="n">
        <v>5.859</v>
      </c>
      <c r="L185" s="17" t="n">
        <v>5.859</v>
      </c>
      <c r="M185" s="3" t="s">
        <v>20</v>
      </c>
      <c r="N185" s="3" t="s">
        <v>443</v>
      </c>
      <c r="O185" s="3" t="s">
        <v>640</v>
      </c>
      <c r="P185" s="12" t="str">
        <f>HYPERLINK("http://images.bloomingdales.com/is/image/BLM/8519893 ")</f>
      </c>
    </row>
    <row r="186" spans="1:16" ht="24.75">
      <c r="A186" s="9" t="s">
        <v>649</v>
      </c>
      <c r="B186" s="3" t="s">
        <v>650</v>
      </c>
      <c r="C186" s="5" t="n">
        <v>1.0</v>
      </c>
      <c r="D186" s="6" t="n">
        <v>13.5</v>
      </c>
      <c r="E186" s="6" t="n">
        <v>13.5</v>
      </c>
      <c r="F186" s="10" t="n">
        <v>29.99</v>
      </c>
      <c r="G186" s="6" t="n">
        <v>29.99</v>
      </c>
      <c r="H186" s="5" t="s">
        <v>651</v>
      </c>
      <c r="I186" s="3" t="s">
        <v>35</v>
      </c>
      <c r="J186" s="11" t="s">
        <v>551</v>
      </c>
      <c r="K186" s="17" t="n">
        <v>5.859</v>
      </c>
      <c r="L186" s="17" t="n">
        <v>5.859</v>
      </c>
      <c r="M186" s="3" t="s">
        <v>21</v>
      </c>
      <c r="N186" s="3" t="s">
        <v>408</v>
      </c>
      <c r="O186" s="3" t="s">
        <v>652</v>
      </c>
      <c r="P186" s="12" t="str">
        <f>HYPERLINK("http://slimages.macys.com/is/image/MCY/2062645 ")</f>
      </c>
    </row>
    <row r="187" spans="1:16" ht="24.75">
      <c r="A187" s="9" t="s">
        <v>653</v>
      </c>
      <c r="B187" s="3" t="s">
        <v>654</v>
      </c>
      <c r="C187" s="5" t="n">
        <v>1.0</v>
      </c>
      <c r="D187" s="6" t="n">
        <v>13.4</v>
      </c>
      <c r="E187" s="6" t="n">
        <v>13.4</v>
      </c>
      <c r="F187" s="10" t="n">
        <v>27.99</v>
      </c>
      <c r="G187" s="6" t="n">
        <v>27.99</v>
      </c>
      <c r="H187" s="5" t="s">
        <v>655</v>
      </c>
      <c r="I187" s="3" t="s">
        <v>137</v>
      </c>
      <c r="J187" s="11" t="s">
        <v>42</v>
      </c>
      <c r="K187" s="17" t="n">
        <v>5.8156</v>
      </c>
      <c r="L187" s="17" t="n">
        <v>5.8156</v>
      </c>
      <c r="M187" s="3" t="s">
        <v>21</v>
      </c>
      <c r="N187" s="3" t="s">
        <v>625</v>
      </c>
      <c r="O187" s="3" t="s">
        <v>78</v>
      </c>
      <c r="P187" s="12" t="str">
        <f>HYPERLINK("http://slimages.macys.com/is/image/MCY/1732861 ")</f>
      </c>
    </row>
    <row r="188" spans="1:16" ht="24.75">
      <c r="A188" s="9" t="s">
        <v>656</v>
      </c>
      <c r="B188" s="3" t="s">
        <v>657</v>
      </c>
      <c r="C188" s="5" t="n">
        <v>1.0</v>
      </c>
      <c r="D188" s="6" t="n">
        <v>13.0</v>
      </c>
      <c r="E188" s="6" t="n">
        <v>13.0</v>
      </c>
      <c r="F188" s="10" t="n">
        <v>29.99</v>
      </c>
      <c r="G188" s="6" t="n">
        <v>29.99</v>
      </c>
      <c r="H188" s="5" t="s">
        <v>658</v>
      </c>
      <c r="I188" s="3" t="s">
        <v>100</v>
      </c>
      <c r="J188" s="11" t="s">
        <v>51</v>
      </c>
      <c r="K188" s="17" t="n">
        <v>5.642</v>
      </c>
      <c r="L188" s="17" t="n">
        <v>5.642</v>
      </c>
      <c r="M188" s="3" t="s">
        <v>21</v>
      </c>
      <c r="N188" s="3" t="s">
        <v>420</v>
      </c>
      <c r="O188" s="3" t="s">
        <v>476</v>
      </c>
      <c r="P188" s="12" t="str">
        <f>HYPERLINK("http://slimages.macys.com/is/image/MCY/2211525 ")</f>
      </c>
    </row>
    <row r="189" spans="1:16" ht="24.75">
      <c r="A189" s="9" t="s">
        <v>659</v>
      </c>
      <c r="B189" s="3" t="s">
        <v>660</v>
      </c>
      <c r="C189" s="5" t="n">
        <v>1.0</v>
      </c>
      <c r="D189" s="6" t="n">
        <v>12.75</v>
      </c>
      <c r="E189" s="6" t="n">
        <v>12.75</v>
      </c>
      <c r="F189" s="10" t="n">
        <v>28.99</v>
      </c>
      <c r="G189" s="6" t="n">
        <v>28.99</v>
      </c>
      <c r="H189" s="5" t="s">
        <v>661</v>
      </c>
      <c r="I189" s="3" t="s">
        <v>137</v>
      </c>
      <c r="J189" s="11" t="s">
        <v>51</v>
      </c>
      <c r="K189" s="17" t="n">
        <v>5.5335</v>
      </c>
      <c r="L189" s="17" t="n">
        <v>5.5335</v>
      </c>
      <c r="M189" s="3" t="s">
        <v>21</v>
      </c>
      <c r="N189" s="3" t="s">
        <v>408</v>
      </c>
      <c r="O189" s="3" t="s">
        <v>577</v>
      </c>
      <c r="P189" s="12" t="str">
        <f>HYPERLINK("http://slimages.macys.com/is/image/MCY/1996612 ")</f>
      </c>
    </row>
    <row r="190" spans="1:16" ht="24.75">
      <c r="A190" s="9" t="s">
        <v>662</v>
      </c>
      <c r="B190" s="3" t="s">
        <v>663</v>
      </c>
      <c r="C190" s="5" t="n">
        <v>2.0</v>
      </c>
      <c r="D190" s="6" t="n">
        <v>12.75</v>
      </c>
      <c r="E190" s="6" t="n">
        <v>25.5</v>
      </c>
      <c r="F190" s="10" t="n">
        <v>28.99</v>
      </c>
      <c r="G190" s="6" t="n">
        <v>57.98</v>
      </c>
      <c r="H190" s="5" t="s">
        <v>664</v>
      </c>
      <c r="I190" s="3" t="s">
        <v>665</v>
      </c>
      <c r="J190" s="11" t="s">
        <v>51</v>
      </c>
      <c r="K190" s="17" t="n">
        <v>5.5335</v>
      </c>
      <c r="L190" s="17" t="n">
        <v>11.067</v>
      </c>
      <c r="M190" s="3" t="s">
        <v>21</v>
      </c>
      <c r="N190" s="3" t="s">
        <v>408</v>
      </c>
      <c r="O190" s="3" t="s">
        <v>577</v>
      </c>
      <c r="P190" s="12" t="str">
        <f>HYPERLINK("http://slimages.macys.com/is/image/MCY/2051626 ")</f>
      </c>
    </row>
    <row r="191" spans="1:16" ht="24.75">
      <c r="A191" s="9" t="s">
        <v>666</v>
      </c>
      <c r="B191" s="3" t="s">
        <v>667</v>
      </c>
      <c r="C191" s="5" t="n">
        <v>1.0</v>
      </c>
      <c r="D191" s="6" t="n">
        <v>12.75</v>
      </c>
      <c r="E191" s="6" t="n">
        <v>12.75</v>
      </c>
      <c r="F191" s="10" t="n">
        <v>28.99</v>
      </c>
      <c r="G191" s="6" t="n">
        <v>28.99</v>
      </c>
      <c r="H191" s="5" t="s">
        <v>664</v>
      </c>
      <c r="I191" s="3" t="s">
        <v>665</v>
      </c>
      <c r="J191" s="11" t="s">
        <v>48</v>
      </c>
      <c r="K191" s="17" t="n">
        <v>5.5335</v>
      </c>
      <c r="L191" s="17" t="n">
        <v>5.5335</v>
      </c>
      <c r="M191" s="3" t="s">
        <v>21</v>
      </c>
      <c r="N191" s="3" t="s">
        <v>408</v>
      </c>
      <c r="O191" s="3" t="s">
        <v>577</v>
      </c>
      <c r="P191" s="12" t="str">
        <f>HYPERLINK("http://slimages.macys.com/is/image/MCY/2051626 ")</f>
      </c>
    </row>
    <row r="192" spans="1:16" ht="24.75">
      <c r="A192" s="9" t="s">
        <v>668</v>
      </c>
      <c r="B192" s="3" t="s">
        <v>669</v>
      </c>
      <c r="C192" s="5" t="n">
        <v>1.0</v>
      </c>
      <c r="D192" s="6" t="n">
        <v>12.5</v>
      </c>
      <c r="E192" s="6" t="n">
        <v>12.5</v>
      </c>
      <c r="F192" s="10" t="n">
        <v>26.99</v>
      </c>
      <c r="G192" s="6" t="n">
        <v>26.99</v>
      </c>
      <c r="H192" s="5" t="s">
        <v>670</v>
      </c>
      <c r="I192" s="3" t="s">
        <v>113</v>
      </c>
      <c r="J192" s="11" t="s">
        <v>157</v>
      </c>
      <c r="K192" s="17" t="n">
        <v>5.425</v>
      </c>
      <c r="L192" s="17" t="n">
        <v>5.425</v>
      </c>
      <c r="M192" s="3" t="s">
        <v>21</v>
      </c>
      <c r="N192" s="3" t="s">
        <v>645</v>
      </c>
      <c r="O192" s="3" t="s">
        <v>671</v>
      </c>
      <c r="P192" s="12" t="str">
        <f>HYPERLINK("http://slimages.macys.com/is/image/MCY/725884 ")</f>
      </c>
    </row>
    <row r="193" spans="1:16" ht="24.75">
      <c r="A193" s="9" t="s">
        <v>672</v>
      </c>
      <c r="B193" s="3" t="s">
        <v>673</v>
      </c>
      <c r="C193" s="5" t="n">
        <v>1.0</v>
      </c>
      <c r="D193" s="6" t="n">
        <v>12.5</v>
      </c>
      <c r="E193" s="6" t="n">
        <v>12.5</v>
      </c>
      <c r="F193" s="10" t="n">
        <v>29.99</v>
      </c>
      <c r="G193" s="6" t="n">
        <v>29.99</v>
      </c>
      <c r="H193" s="5" t="s">
        <v>674</v>
      </c>
      <c r="I193" s="3" t="s">
        <v>47</v>
      </c>
      <c r="J193" s="11" t="s">
        <v>51</v>
      </c>
      <c r="K193" s="17" t="n">
        <v>5.425</v>
      </c>
      <c r="L193" s="17" t="n">
        <v>5.425</v>
      </c>
      <c r="M193" s="3" t="s">
        <v>21</v>
      </c>
      <c r="N193" s="3" t="s">
        <v>460</v>
      </c>
      <c r="O193" s="3" t="s">
        <v>488</v>
      </c>
      <c r="P193" s="12" t="str">
        <f>HYPERLINK("http://slimages.macys.com/is/image/MCY/2373858 ")</f>
      </c>
    </row>
    <row r="194" spans="1:16" ht="24.75">
      <c r="A194" s="9" t="s">
        <v>675</v>
      </c>
      <c r="B194" s="3" t="s">
        <v>676</v>
      </c>
      <c r="C194" s="5" t="n">
        <v>1.0</v>
      </c>
      <c r="D194" s="6" t="n">
        <v>12.0</v>
      </c>
      <c r="E194" s="6" t="n">
        <v>12.0</v>
      </c>
      <c r="F194" s="10" t="n">
        <v>24.98</v>
      </c>
      <c r="G194" s="6" t="n">
        <v>24.98</v>
      </c>
      <c r="H194" s="5" t="n">
        <v>7320256.0</v>
      </c>
      <c r="I194" s="3" t="s">
        <v>677</v>
      </c>
      <c r="J194" s="11" t="s">
        <v>36</v>
      </c>
      <c r="K194" s="17" t="n">
        <v>5.208</v>
      </c>
      <c r="L194" s="17" t="n">
        <v>5.208</v>
      </c>
      <c r="M194" s="3" t="s">
        <v>21</v>
      </c>
      <c r="N194" s="3" t="s">
        <v>408</v>
      </c>
      <c r="O194" s="3" t="s">
        <v>409</v>
      </c>
      <c r="P194" s="12" t="str">
        <f>HYPERLINK("http://slimages.macys.com/is/image/MCY/1880771 ")</f>
      </c>
    </row>
    <row r="195" spans="1:16" ht="24.75">
      <c r="A195" s="9" t="s">
        <v>678</v>
      </c>
      <c r="B195" s="3" t="s">
        <v>679</v>
      </c>
      <c r="C195" s="5" t="n">
        <v>1.0</v>
      </c>
      <c r="D195" s="6" t="n">
        <v>12.0</v>
      </c>
      <c r="E195" s="6" t="n">
        <v>12.0</v>
      </c>
      <c r="F195" s="10" t="n">
        <v>34.99</v>
      </c>
      <c r="G195" s="6" t="n">
        <v>34.99</v>
      </c>
      <c r="H195" s="5" t="s">
        <v>680</v>
      </c>
      <c r="I195" s="3" t="s">
        <v>196</v>
      </c>
      <c r="J195" s="11" t="s">
        <v>88</v>
      </c>
      <c r="K195" s="17" t="n">
        <v>5.208</v>
      </c>
      <c r="L195" s="17" t="n">
        <v>5.208</v>
      </c>
      <c r="M195" s="3" t="s">
        <v>21</v>
      </c>
      <c r="N195" s="3" t="s">
        <v>427</v>
      </c>
      <c r="O195" s="3" t="s">
        <v>681</v>
      </c>
      <c r="P195" s="12" t="str">
        <f>HYPERLINK("http://slimages.macys.com/is/image/MCY/1996458 ")</f>
      </c>
    </row>
    <row r="196" spans="1:16" ht="24.75">
      <c r="A196" s="9" t="s">
        <v>682</v>
      </c>
      <c r="B196" s="3" t="s">
        <v>683</v>
      </c>
      <c r="C196" s="5" t="n">
        <v>1.0</v>
      </c>
      <c r="D196" s="6" t="n">
        <v>12.0</v>
      </c>
      <c r="E196" s="6" t="n">
        <v>12.0</v>
      </c>
      <c r="F196" s="10" t="n">
        <v>36.0</v>
      </c>
      <c r="G196" s="6" t="n">
        <v>36.0</v>
      </c>
      <c r="H196" s="5" t="s">
        <v>684</v>
      </c>
      <c r="I196" s="3" t="s">
        <v>196</v>
      </c>
      <c r="J196" s="11" t="s">
        <v>42</v>
      </c>
      <c r="K196" s="17" t="n">
        <v>5.208</v>
      </c>
      <c r="L196" s="17" t="n">
        <v>5.208</v>
      </c>
      <c r="M196" s="3" t="s">
        <v>20</v>
      </c>
      <c r="N196" s="3" t="s">
        <v>443</v>
      </c>
      <c r="O196" s="3" t="s">
        <v>640</v>
      </c>
      <c r="P196" s="12" t="str">
        <f>HYPERLINK("http://images.bloomingdales.com/is/image/BLM/8519901 ")</f>
      </c>
    </row>
    <row r="197" spans="1:16" ht="24.75">
      <c r="A197" s="9" t="s">
        <v>685</v>
      </c>
      <c r="B197" s="3" t="s">
        <v>683</v>
      </c>
      <c r="C197" s="5" t="n">
        <v>1.0</v>
      </c>
      <c r="D197" s="6" t="n">
        <v>12.0</v>
      </c>
      <c r="E197" s="6" t="n">
        <v>12.0</v>
      </c>
      <c r="F197" s="10" t="n">
        <v>36.0</v>
      </c>
      <c r="G197" s="6" t="n">
        <v>36.0</v>
      </c>
      <c r="H197" s="5" t="s">
        <v>684</v>
      </c>
      <c r="I197" s="3" t="s">
        <v>196</v>
      </c>
      <c r="J197" s="11" t="s">
        <v>36</v>
      </c>
      <c r="K197" s="17" t="n">
        <v>5.208</v>
      </c>
      <c r="L197" s="17" t="n">
        <v>5.208</v>
      </c>
      <c r="M197" s="3" t="s">
        <v>20</v>
      </c>
      <c r="N197" s="3" t="s">
        <v>443</v>
      </c>
      <c r="O197" s="3" t="s">
        <v>640</v>
      </c>
      <c r="P197" s="12" t="str">
        <f>HYPERLINK("http://images.bloomingdales.com/is/image/BLM/8519901 ")</f>
      </c>
    </row>
    <row r="198" spans="1:16" ht="24.75">
      <c r="A198" s="9" t="s">
        <v>686</v>
      </c>
      <c r="B198" s="3" t="s">
        <v>687</v>
      </c>
      <c r="C198" s="5" t="n">
        <v>1.0</v>
      </c>
      <c r="D198" s="6" t="n">
        <v>12.0</v>
      </c>
      <c r="E198" s="6" t="n">
        <v>12.0</v>
      </c>
      <c r="F198" s="10" t="n">
        <v>24.99</v>
      </c>
      <c r="G198" s="6" t="n">
        <v>24.99</v>
      </c>
      <c r="H198" s="5" t="s">
        <v>688</v>
      </c>
      <c r="I198" s="3" t="s">
        <v>62</v>
      </c>
      <c r="J198" s="11" t="s">
        <v>51</v>
      </c>
      <c r="K198" s="17" t="n">
        <v>5.208</v>
      </c>
      <c r="L198" s="17" t="n">
        <v>5.208</v>
      </c>
      <c r="M198" s="3" t="s">
        <v>21</v>
      </c>
      <c r="N198" s="3" t="s">
        <v>689</v>
      </c>
      <c r="O198" s="3" t="s">
        <v>615</v>
      </c>
      <c r="P198" s="12" t="str">
        <f>HYPERLINK("http://slimages.macys.com/is/image/MCY/1892831 ")</f>
      </c>
    </row>
    <row r="199" spans="1:16" ht="24.75">
      <c r="A199" s="9" t="s">
        <v>690</v>
      </c>
      <c r="B199" s="3" t="s">
        <v>691</v>
      </c>
      <c r="C199" s="5" t="n">
        <v>1.0</v>
      </c>
      <c r="D199" s="6" t="n">
        <v>11.75</v>
      </c>
      <c r="E199" s="6" t="n">
        <v>11.75</v>
      </c>
      <c r="F199" s="10" t="n">
        <v>26.99</v>
      </c>
      <c r="G199" s="6" t="n">
        <v>26.99</v>
      </c>
      <c r="H199" s="5" t="s">
        <v>692</v>
      </c>
      <c r="I199" s="3" t="s">
        <v>353</v>
      </c>
      <c r="J199" s="11" t="s">
        <v>1033</v>
      </c>
      <c r="K199" s="17" t="n">
        <v>5.0995</v>
      </c>
      <c r="L199" s="17" t="n">
        <v>5.0995</v>
      </c>
      <c r="M199" s="3" t="s">
        <v>21</v>
      </c>
      <c r="N199" s="3" t="s">
        <v>408</v>
      </c>
      <c r="O199" s="3" t="s">
        <v>609</v>
      </c>
      <c r="P199" s="12" t="str">
        <f>HYPERLINK("http://slimages.macys.com/is/image/MCY/1531379 ")</f>
      </c>
    </row>
    <row r="200" spans="1:16" ht="24.75">
      <c r="A200" s="9" t="s">
        <v>693</v>
      </c>
      <c r="B200" s="3" t="s">
        <v>694</v>
      </c>
      <c r="C200" s="5" t="n">
        <v>1.0</v>
      </c>
      <c r="D200" s="6" t="n">
        <v>11.75</v>
      </c>
      <c r="E200" s="6" t="n">
        <v>11.75</v>
      </c>
      <c r="F200" s="10" t="n">
        <v>26.99</v>
      </c>
      <c r="G200" s="6" t="n">
        <v>26.99</v>
      </c>
      <c r="H200" s="5" t="s">
        <v>692</v>
      </c>
      <c r="I200" s="3" t="s">
        <v>387</v>
      </c>
      <c r="J200" s="11" t="s">
        <v>1033</v>
      </c>
      <c r="K200" s="17" t="n">
        <v>5.0995</v>
      </c>
      <c r="L200" s="17" t="n">
        <v>5.0995</v>
      </c>
      <c r="M200" s="3" t="s">
        <v>21</v>
      </c>
      <c r="N200" s="3" t="s">
        <v>408</v>
      </c>
      <c r="O200" s="3" t="s">
        <v>609</v>
      </c>
      <c r="P200" s="12" t="str">
        <f>HYPERLINK("http://slimages.macys.com/is/image/MCY/1531379 ")</f>
      </c>
    </row>
    <row r="201" spans="1:16" ht="24.75">
      <c r="A201" s="9" t="s">
        <v>695</v>
      </c>
      <c r="B201" s="3" t="s">
        <v>696</v>
      </c>
      <c r="C201" s="5" t="n">
        <v>1.0</v>
      </c>
      <c r="D201" s="6" t="n">
        <v>11.75</v>
      </c>
      <c r="E201" s="6" t="n">
        <v>11.75</v>
      </c>
      <c r="F201" s="10" t="n">
        <v>26.99</v>
      </c>
      <c r="G201" s="6" t="n">
        <v>26.99</v>
      </c>
      <c r="H201" s="5" t="s">
        <v>692</v>
      </c>
      <c r="I201" s="3" t="s">
        <v>697</v>
      </c>
      <c r="J201" s="11" t="s">
        <v>1033</v>
      </c>
      <c r="K201" s="17" t="n">
        <v>5.0995</v>
      </c>
      <c r="L201" s="17" t="n">
        <v>5.0995</v>
      </c>
      <c r="M201" s="3" t="s">
        <v>21</v>
      </c>
      <c r="N201" s="3" t="s">
        <v>408</v>
      </c>
      <c r="O201" s="3" t="s">
        <v>609</v>
      </c>
      <c r="P201" s="12" t="str">
        <f>HYPERLINK("http://slimages.macys.com/is/image/MCY/1531379 ")</f>
      </c>
    </row>
    <row r="202" spans="1:16" ht="24.75">
      <c r="A202" s="9" t="s">
        <v>698</v>
      </c>
      <c r="B202" s="3" t="s">
        <v>699</v>
      </c>
      <c r="C202" s="5" t="n">
        <v>1.0</v>
      </c>
      <c r="D202" s="6" t="n">
        <v>11.55</v>
      </c>
      <c r="E202" s="6" t="n">
        <v>11.55</v>
      </c>
      <c r="F202" s="10" t="n">
        <v>26.99</v>
      </c>
      <c r="G202" s="6" t="n">
        <v>26.99</v>
      </c>
      <c r="H202" s="5" t="n">
        <v>5058537.0</v>
      </c>
      <c r="I202" s="3" t="s">
        <v>47</v>
      </c>
      <c r="J202" s="11" t="s">
        <v>42</v>
      </c>
      <c r="K202" s="17" t="n">
        <v>5.0127</v>
      </c>
      <c r="L202" s="17" t="n">
        <v>5.0127</v>
      </c>
      <c r="M202" s="3" t="s">
        <v>21</v>
      </c>
      <c r="N202" s="3" t="s">
        <v>689</v>
      </c>
      <c r="O202" s="3" t="s">
        <v>700</v>
      </c>
      <c r="P202" s="12" t="str">
        <f>HYPERLINK("http://slimages.macys.com/is/image/MCY/2261904 ")</f>
      </c>
    </row>
    <row r="203" spans="1:16" ht="24.75">
      <c r="A203" s="9" t="s">
        <v>701</v>
      </c>
      <c r="B203" s="3" t="s">
        <v>702</v>
      </c>
      <c r="C203" s="5" t="n">
        <v>1.0</v>
      </c>
      <c r="D203" s="6" t="n">
        <v>11.0</v>
      </c>
      <c r="E203" s="6" t="n">
        <v>11.0</v>
      </c>
      <c r="F203" s="10" t="n">
        <v>21.98</v>
      </c>
      <c r="G203" s="6" t="n">
        <v>21.98</v>
      </c>
      <c r="H203" s="5" t="s">
        <v>703</v>
      </c>
      <c r="I203" s="3" t="s">
        <v>704</v>
      </c>
      <c r="J203" s="11" t="s">
        <v>426</v>
      </c>
      <c r="K203" s="17" t="n">
        <v>4.774</v>
      </c>
      <c r="L203" s="17" t="n">
        <v>4.774</v>
      </c>
      <c r="M203" s="3" t="s">
        <v>21</v>
      </c>
      <c r="N203" s="3" t="s">
        <v>705</v>
      </c>
      <c r="O203" s="3" t="s">
        <v>706</v>
      </c>
      <c r="P203" s="12" t="str">
        <f>HYPERLINK("http://slimages.macys.com/is/image/MCY/1962076 ")</f>
      </c>
    </row>
    <row r="204" spans="1:16" ht="24.75">
      <c r="A204" s="9" t="s">
        <v>707</v>
      </c>
      <c r="B204" s="3" t="s">
        <v>708</v>
      </c>
      <c r="C204" s="5" t="n">
        <v>1.0</v>
      </c>
      <c r="D204" s="6" t="n">
        <v>11.0</v>
      </c>
      <c r="E204" s="6" t="n">
        <v>11.0</v>
      </c>
      <c r="F204" s="10" t="n">
        <v>21.98</v>
      </c>
      <c r="G204" s="6" t="n">
        <v>21.98</v>
      </c>
      <c r="H204" s="5" t="s">
        <v>703</v>
      </c>
      <c r="I204" s="3" t="s">
        <v>100</v>
      </c>
      <c r="J204" s="11" t="s">
        <v>426</v>
      </c>
      <c r="K204" s="17" t="n">
        <v>4.774</v>
      </c>
      <c r="L204" s="17" t="n">
        <v>4.774</v>
      </c>
      <c r="M204" s="3" t="s">
        <v>21</v>
      </c>
      <c r="N204" s="3" t="s">
        <v>705</v>
      </c>
      <c r="O204" s="3" t="s">
        <v>706</v>
      </c>
      <c r="P204" s="12" t="str">
        <f>HYPERLINK("http://slimages.macys.com/is/image/MCY/1962076 ")</f>
      </c>
    </row>
    <row r="205" spans="1:16" ht="24.75">
      <c r="A205" s="9" t="s">
        <v>709</v>
      </c>
      <c r="B205" s="3" t="s">
        <v>710</v>
      </c>
      <c r="C205" s="5" t="n">
        <v>1.0</v>
      </c>
      <c r="D205" s="6" t="n">
        <v>11.0</v>
      </c>
      <c r="E205" s="6" t="n">
        <v>11.0</v>
      </c>
      <c r="F205" s="10" t="n">
        <v>21.98</v>
      </c>
      <c r="G205" s="6" t="n">
        <v>21.98</v>
      </c>
      <c r="H205" s="5" t="s">
        <v>711</v>
      </c>
      <c r="I205" s="3" t="s">
        <v>712</v>
      </c>
      <c r="J205" s="11" t="s">
        <v>54</v>
      </c>
      <c r="K205" s="17" t="n">
        <v>4.774</v>
      </c>
      <c r="L205" s="17" t="n">
        <v>4.774</v>
      </c>
      <c r="M205" s="3" t="s">
        <v>21</v>
      </c>
      <c r="N205" s="3" t="s">
        <v>625</v>
      </c>
      <c r="O205" s="3" t="s">
        <v>78</v>
      </c>
      <c r="P205" s="12" t="str">
        <f>HYPERLINK("http://slimages.macys.com/is/image/MCY/2288218 ")</f>
      </c>
    </row>
    <row r="206" spans="1:16" ht="24.75">
      <c r="A206" s="9" t="s">
        <v>713</v>
      </c>
      <c r="B206" s="3" t="s">
        <v>714</v>
      </c>
      <c r="C206" s="5" t="n">
        <v>1.0</v>
      </c>
      <c r="D206" s="6" t="n">
        <v>11.0</v>
      </c>
      <c r="E206" s="6" t="n">
        <v>11.0</v>
      </c>
      <c r="F206" s="10" t="n">
        <v>21.98</v>
      </c>
      <c r="G206" s="6" t="n">
        <v>21.98</v>
      </c>
      <c r="H206" s="5" t="s">
        <v>715</v>
      </c>
      <c r="I206" s="3" t="s">
        <v>173</v>
      </c>
      <c r="J206" s="11" t="s">
        <v>51</v>
      </c>
      <c r="K206" s="17" t="n">
        <v>4.774</v>
      </c>
      <c r="L206" s="17" t="n">
        <v>4.774</v>
      </c>
      <c r="M206" s="3" t="s">
        <v>21</v>
      </c>
      <c r="N206" s="3" t="s">
        <v>625</v>
      </c>
      <c r="O206" s="3" t="s">
        <v>78</v>
      </c>
      <c r="P206" s="12" t="str">
        <f>HYPERLINK("http://slimages.macys.com/is/image/MCY/2018715 ")</f>
      </c>
    </row>
    <row r="207" spans="1:16" ht="24.75">
      <c r="A207" s="9" t="s">
        <v>716</v>
      </c>
      <c r="B207" s="3" t="s">
        <v>717</v>
      </c>
      <c r="C207" s="5" t="n">
        <v>1.0</v>
      </c>
      <c r="D207" s="6" t="n">
        <v>10.9</v>
      </c>
      <c r="E207" s="6" t="n">
        <v>10.9</v>
      </c>
      <c r="F207" s="10" t="n">
        <v>25.99</v>
      </c>
      <c r="G207" s="6" t="n">
        <v>25.99</v>
      </c>
      <c r="H207" s="5" t="s">
        <v>718</v>
      </c>
      <c r="I207" s="3" t="s">
        <v>69</v>
      </c>
      <c r="J207" s="11" t="s">
        <v>91</v>
      </c>
      <c r="K207" s="17" t="n">
        <v>4.7306</v>
      </c>
      <c r="L207" s="17" t="n">
        <v>4.7306</v>
      </c>
      <c r="M207" s="3" t="s">
        <v>21</v>
      </c>
      <c r="N207" s="3" t="s">
        <v>408</v>
      </c>
      <c r="O207" s="3" t="s">
        <v>719</v>
      </c>
      <c r="P207" s="12" t="str">
        <f>HYPERLINK("http://slimages.macys.com/is/image/MCY/2017910 ")</f>
      </c>
    </row>
    <row r="208" spans="1:16" ht="24.75">
      <c r="A208" s="9" t="s">
        <v>720</v>
      </c>
      <c r="B208" s="3" t="s">
        <v>721</v>
      </c>
      <c r="C208" s="5" t="n">
        <v>1.0</v>
      </c>
      <c r="D208" s="6" t="n">
        <v>10.9</v>
      </c>
      <c r="E208" s="6" t="n">
        <v>10.9</v>
      </c>
      <c r="F208" s="10" t="n">
        <v>25.99</v>
      </c>
      <c r="G208" s="6" t="n">
        <v>25.99</v>
      </c>
      <c r="H208" s="5" t="s">
        <v>718</v>
      </c>
      <c r="I208" s="3" t="s">
        <v>173</v>
      </c>
      <c r="J208" s="11" t="s">
        <v>91</v>
      </c>
      <c r="K208" s="17" t="n">
        <v>4.7306</v>
      </c>
      <c r="L208" s="17" t="n">
        <v>4.7306</v>
      </c>
      <c r="M208" s="3" t="s">
        <v>21</v>
      </c>
      <c r="N208" s="3" t="s">
        <v>408</v>
      </c>
      <c r="O208" s="3" t="s">
        <v>719</v>
      </c>
      <c r="P208" s="12" t="str">
        <f>HYPERLINK("http://slimages.macys.com/is/image/MCY/2017910 ")</f>
      </c>
    </row>
    <row r="209" spans="1:16" ht="24.75">
      <c r="A209" s="9" t="s">
        <v>722</v>
      </c>
      <c r="B209" s="3" t="s">
        <v>723</v>
      </c>
      <c r="C209" s="5" t="n">
        <v>1.0</v>
      </c>
      <c r="D209" s="6" t="n">
        <v>10.88</v>
      </c>
      <c r="E209" s="6" t="n">
        <v>10.88</v>
      </c>
      <c r="F209" s="10" t="n">
        <v>32.0</v>
      </c>
      <c r="G209" s="6" t="n">
        <v>32.0</v>
      </c>
      <c r="H209" s="5" t="n">
        <v>220600.0</v>
      </c>
      <c r="I209" s="3" t="s">
        <v>265</v>
      </c>
      <c r="J209" s="11" t="s">
        <v>42</v>
      </c>
      <c r="K209" s="17" t="n">
        <v>4.721920000000001</v>
      </c>
      <c r="L209" s="17" t="n">
        <v>4.721920000000001</v>
      </c>
      <c r="M209" s="3" t="s">
        <v>20</v>
      </c>
      <c r="N209" s="3" t="s">
        <v>443</v>
      </c>
      <c r="O209" s="3" t="s">
        <v>594</v>
      </c>
      <c r="P209" s="12" t="str">
        <f>HYPERLINK("http://slimages.macys.com/is/image/MCY/2029882 ")</f>
      </c>
    </row>
    <row r="210" spans="1:16" ht="24.75">
      <c r="A210" s="9" t="s">
        <v>724</v>
      </c>
      <c r="B210" s="3" t="s">
        <v>725</v>
      </c>
      <c r="C210" s="5" t="n">
        <v>1.0</v>
      </c>
      <c r="D210" s="6" t="n">
        <v>10.88</v>
      </c>
      <c r="E210" s="6" t="n">
        <v>10.88</v>
      </c>
      <c r="F210" s="10" t="n">
        <v>32.0</v>
      </c>
      <c r="G210" s="6" t="n">
        <v>32.0</v>
      </c>
      <c r="H210" s="5" t="n">
        <v>220600.0</v>
      </c>
      <c r="I210" s="3" t="s">
        <v>265</v>
      </c>
      <c r="J210" s="11" t="s">
        <v>51</v>
      </c>
      <c r="K210" s="17" t="n">
        <v>4.721920000000001</v>
      </c>
      <c r="L210" s="17" t="n">
        <v>4.721920000000001</v>
      </c>
      <c r="M210" s="3" t="s">
        <v>20</v>
      </c>
      <c r="N210" s="3" t="s">
        <v>443</v>
      </c>
      <c r="O210" s="3" t="s">
        <v>594</v>
      </c>
      <c r="P210" s="12" t="str">
        <f>HYPERLINK("http://slimages.macys.com/is/image/MCY/2029882 ")</f>
      </c>
    </row>
    <row r="211" spans="1:16" ht="24.75">
      <c r="A211" s="9" t="s">
        <v>726</v>
      </c>
      <c r="B211" s="3" t="s">
        <v>723</v>
      </c>
      <c r="C211" s="5" t="n">
        <v>2.0</v>
      </c>
      <c r="D211" s="6" t="n">
        <v>10.88</v>
      </c>
      <c r="E211" s="6" t="n">
        <v>21.76</v>
      </c>
      <c r="F211" s="10" t="n">
        <v>32.0</v>
      </c>
      <c r="G211" s="6" t="n">
        <v>64.0</v>
      </c>
      <c r="H211" s="5" t="n">
        <v>220600.0</v>
      </c>
      <c r="I211" s="3" t="s">
        <v>265</v>
      </c>
      <c r="J211" s="11" t="s">
        <v>51</v>
      </c>
      <c r="K211" s="17" t="n">
        <v>4.721920000000001</v>
      </c>
      <c r="L211" s="17" t="n">
        <v>9.443840000000002</v>
      </c>
      <c r="M211" s="3" t="s">
        <v>20</v>
      </c>
      <c r="N211" s="3" t="s">
        <v>443</v>
      </c>
      <c r="O211" s="3" t="s">
        <v>594</v>
      </c>
      <c r="P211" s="12" t="str">
        <f>HYPERLINK("http://slimages.macys.com/is/image/MCY/2029882 ")</f>
      </c>
    </row>
    <row r="212" spans="1:16" ht="24.75">
      <c r="A212" s="9" t="s">
        <v>727</v>
      </c>
      <c r="B212" s="3" t="s">
        <v>728</v>
      </c>
      <c r="C212" s="5" t="n">
        <v>1.0</v>
      </c>
      <c r="D212" s="6" t="n">
        <v>10.0</v>
      </c>
      <c r="E212" s="6" t="n">
        <v>10.0</v>
      </c>
      <c r="F212" s="10" t="n">
        <v>19.99</v>
      </c>
      <c r="G212" s="6" t="n">
        <v>19.99</v>
      </c>
      <c r="H212" s="5" t="s">
        <v>729</v>
      </c>
      <c r="I212" s="3" t="s">
        <v>47</v>
      </c>
      <c r="J212" s="11" t="s">
        <v>54</v>
      </c>
      <c r="K212" s="17" t="n">
        <v>4.34</v>
      </c>
      <c r="L212" s="17" t="n">
        <v>4.34</v>
      </c>
      <c r="M212" s="3" t="s">
        <v>21</v>
      </c>
      <c r="N212" s="3" t="s">
        <v>689</v>
      </c>
      <c r="O212" s="3" t="s">
        <v>615</v>
      </c>
      <c r="P212" s="12" t="str">
        <f>HYPERLINK("http://slimages.macys.com/is/image/MCY/1683681 ")</f>
      </c>
    </row>
    <row r="213" spans="1:16" ht="24.75">
      <c r="A213" s="9" t="s">
        <v>730</v>
      </c>
      <c r="B213" s="3" t="s">
        <v>731</v>
      </c>
      <c r="C213" s="5" t="n">
        <v>1.0</v>
      </c>
      <c r="D213" s="6" t="n">
        <v>10.0</v>
      </c>
      <c r="E213" s="6" t="n">
        <v>10.0</v>
      </c>
      <c r="F213" s="10" t="n">
        <v>19.99</v>
      </c>
      <c r="G213" s="6" t="n">
        <v>19.99</v>
      </c>
      <c r="H213" s="5" t="s">
        <v>729</v>
      </c>
      <c r="I213" s="3" t="s">
        <v>47</v>
      </c>
      <c r="J213" s="11" t="s">
        <v>48</v>
      </c>
      <c r="K213" s="17" t="n">
        <v>4.34</v>
      </c>
      <c r="L213" s="17" t="n">
        <v>4.34</v>
      </c>
      <c r="M213" s="3" t="s">
        <v>21</v>
      </c>
      <c r="N213" s="3" t="s">
        <v>689</v>
      </c>
      <c r="O213" s="3" t="s">
        <v>615</v>
      </c>
      <c r="P213" s="12" t="str">
        <f>HYPERLINK("http://slimages.macys.com/is/image/MCY/1683681 ")</f>
      </c>
    </row>
    <row r="214" spans="1:16" ht="24.75">
      <c r="A214" s="9" t="s">
        <v>732</v>
      </c>
      <c r="B214" s="3" t="s">
        <v>733</v>
      </c>
      <c r="C214" s="5" t="n">
        <v>1.0</v>
      </c>
      <c r="D214" s="6" t="n">
        <v>10.0</v>
      </c>
      <c r="E214" s="6" t="n">
        <v>10.0</v>
      </c>
      <c r="F214" s="10" t="n">
        <v>19.99</v>
      </c>
      <c r="G214" s="6" t="n">
        <v>19.99</v>
      </c>
      <c r="H214" s="5" t="s">
        <v>734</v>
      </c>
      <c r="I214" s="3" t="s">
        <v>69</v>
      </c>
      <c r="J214" s="11" t="s">
        <v>42</v>
      </c>
      <c r="K214" s="17" t="n">
        <v>4.34</v>
      </c>
      <c r="L214" s="17" t="n">
        <v>4.34</v>
      </c>
      <c r="M214" s="3" t="s">
        <v>21</v>
      </c>
      <c r="N214" s="3" t="s">
        <v>689</v>
      </c>
      <c r="O214" s="3" t="s">
        <v>615</v>
      </c>
      <c r="P214" s="12" t="str">
        <f>HYPERLINK("http://slimages.macys.com/is/image/MCY/1683681 ")</f>
      </c>
    </row>
    <row r="215" spans="1:16" ht="24.75">
      <c r="A215" s="9" t="s">
        <v>735</v>
      </c>
      <c r="B215" s="3" t="s">
        <v>736</v>
      </c>
      <c r="C215" s="5" t="n">
        <v>1.0</v>
      </c>
      <c r="D215" s="6" t="n">
        <v>9.99</v>
      </c>
      <c r="E215" s="6" t="n">
        <v>9.99</v>
      </c>
      <c r="F215" s="10" t="n">
        <v>19.98</v>
      </c>
      <c r="G215" s="6" t="n">
        <v>19.98</v>
      </c>
      <c r="H215" s="5" t="s">
        <v>737</v>
      </c>
      <c r="I215" s="3" t="s">
        <v>100</v>
      </c>
      <c r="J215" s="11" t="s">
        <v>51</v>
      </c>
      <c r="K215" s="17" t="n">
        <v>4.335660000000001</v>
      </c>
      <c r="L215" s="17" t="n">
        <v>4.335660000000001</v>
      </c>
      <c r="M215" s="3" t="s">
        <v>21</v>
      </c>
      <c r="N215" s="3" t="s">
        <v>191</v>
      </c>
      <c r="O215" s="3" t="s">
        <v>282</v>
      </c>
      <c r="P215" s="12" t="str">
        <f>HYPERLINK("http://slimages.macys.com/is/image/MCY/1612878 ")</f>
      </c>
    </row>
    <row r="216" spans="1:16" ht="24.75">
      <c r="A216" s="9" t="s">
        <v>738</v>
      </c>
      <c r="B216" s="3" t="s">
        <v>739</v>
      </c>
      <c r="C216" s="5" t="n">
        <v>1.0</v>
      </c>
      <c r="D216" s="6" t="n">
        <v>9.5</v>
      </c>
      <c r="E216" s="6" t="n">
        <v>9.5</v>
      </c>
      <c r="F216" s="10" t="n">
        <v>28.0</v>
      </c>
      <c r="G216" s="6" t="n">
        <v>28.0</v>
      </c>
      <c r="H216" s="5" t="s">
        <v>740</v>
      </c>
      <c r="I216" s="3" t="s">
        <v>367</v>
      </c>
      <c r="J216" s="11" t="s">
        <v>36</v>
      </c>
      <c r="K216" s="17" t="n">
        <v>4.123</v>
      </c>
      <c r="L216" s="17" t="n">
        <v>4.123</v>
      </c>
      <c r="M216" s="3" t="s">
        <v>20</v>
      </c>
      <c r="N216" s="3" t="s">
        <v>443</v>
      </c>
      <c r="O216" s="3" t="s">
        <v>594</v>
      </c>
      <c r="P216" s="12" t="str">
        <f>HYPERLINK("http://slimages.macys.com/is/image/MCY/2096422 ")</f>
      </c>
    </row>
    <row r="217" spans="1:16" ht="24.75">
      <c r="A217" s="9" t="s">
        <v>741</v>
      </c>
      <c r="B217" s="3" t="s">
        <v>739</v>
      </c>
      <c r="C217" s="5" t="n">
        <v>2.0</v>
      </c>
      <c r="D217" s="6" t="n">
        <v>9.5</v>
      </c>
      <c r="E217" s="6" t="n">
        <v>19.0</v>
      </c>
      <c r="F217" s="10" t="n">
        <v>28.0</v>
      </c>
      <c r="G217" s="6" t="n">
        <v>56.0</v>
      </c>
      <c r="H217" s="5" t="s">
        <v>740</v>
      </c>
      <c r="I217" s="3" t="s">
        <v>367</v>
      </c>
      <c r="J217" s="11" t="s">
        <v>51</v>
      </c>
      <c r="K217" s="17" t="n">
        <v>4.123</v>
      </c>
      <c r="L217" s="17" t="n">
        <v>8.246</v>
      </c>
      <c r="M217" s="3" t="s">
        <v>20</v>
      </c>
      <c r="N217" s="3" t="s">
        <v>443</v>
      </c>
      <c r="O217" s="3" t="s">
        <v>594</v>
      </c>
      <c r="P217" s="12" t="str">
        <f>HYPERLINK("http://slimages.macys.com/is/image/MCY/2096422 ")</f>
      </c>
    </row>
    <row r="218" spans="1:16" ht="24.75">
      <c r="A218" s="9" t="s">
        <v>742</v>
      </c>
      <c r="B218" s="3" t="s">
        <v>743</v>
      </c>
      <c r="C218" s="5" t="n">
        <v>1.0</v>
      </c>
      <c r="D218" s="6" t="n">
        <v>9.5</v>
      </c>
      <c r="E218" s="6" t="n">
        <v>9.5</v>
      </c>
      <c r="F218" s="10" t="n">
        <v>21.99</v>
      </c>
      <c r="G218" s="6" t="n">
        <v>21.99</v>
      </c>
      <c r="H218" s="5" t="s">
        <v>744</v>
      </c>
      <c r="I218" s="3" t="s">
        <v>712</v>
      </c>
      <c r="J218" s="11" t="s">
        <v>54</v>
      </c>
      <c r="K218" s="17" t="n">
        <v>4.123</v>
      </c>
      <c r="L218" s="17" t="n">
        <v>4.123</v>
      </c>
      <c r="M218" s="3" t="s">
        <v>21</v>
      </c>
      <c r="N218" s="3" t="s">
        <v>408</v>
      </c>
      <c r="O218" s="3" t="s">
        <v>719</v>
      </c>
      <c r="P218" s="12" t="str">
        <f>HYPERLINK("http://slimages.macys.com/is/image/MCY/1901266 ")</f>
      </c>
    </row>
    <row r="219" spans="1:16" ht="24.75">
      <c r="A219" s="9" t="s">
        <v>745</v>
      </c>
      <c r="B219" s="3" t="s">
        <v>746</v>
      </c>
      <c r="C219" s="5" t="n">
        <v>1.0</v>
      </c>
      <c r="D219" s="6" t="n">
        <v>9.0</v>
      </c>
      <c r="E219" s="6" t="n">
        <v>9.0</v>
      </c>
      <c r="F219" s="10" t="n">
        <v>19.99</v>
      </c>
      <c r="G219" s="6" t="n">
        <v>19.99</v>
      </c>
      <c r="H219" s="5" t="s">
        <v>747</v>
      </c>
      <c r="I219" s="3" t="s">
        <v>748</v>
      </c>
      <c r="J219" s="11" t="s">
        <v>48</v>
      </c>
      <c r="K219" s="17" t="n">
        <v>3.906</v>
      </c>
      <c r="L219" s="17" t="n">
        <v>3.906</v>
      </c>
      <c r="M219" s="3" t="s">
        <v>21</v>
      </c>
      <c r="N219" s="3" t="s">
        <v>420</v>
      </c>
      <c r="O219" s="3" t="s">
        <v>421</v>
      </c>
      <c r="P219" s="12" t="str">
        <f>HYPERLINK("http://slimages.macys.com/is/image/MCY/1996498 ")</f>
      </c>
    </row>
    <row r="220" spans="1:16" ht="24.75">
      <c r="A220" s="9" t="s">
        <v>749</v>
      </c>
      <c r="B220" s="3" t="s">
        <v>750</v>
      </c>
      <c r="C220" s="5" t="n">
        <v>1.0</v>
      </c>
      <c r="D220" s="6" t="n">
        <v>9.0</v>
      </c>
      <c r="E220" s="6" t="n">
        <v>9.0</v>
      </c>
      <c r="F220" s="10" t="n">
        <v>19.99</v>
      </c>
      <c r="G220" s="6" t="n">
        <v>19.99</v>
      </c>
      <c r="H220" s="5" t="s">
        <v>751</v>
      </c>
      <c r="I220" s="3" t="s">
        <v>467</v>
      </c>
      <c r="J220" s="11" t="s">
        <v>54</v>
      </c>
      <c r="K220" s="17" t="n">
        <v>3.906</v>
      </c>
      <c r="L220" s="17" t="n">
        <v>3.906</v>
      </c>
      <c r="M220" s="3" t="s">
        <v>21</v>
      </c>
      <c r="N220" s="3" t="s">
        <v>534</v>
      </c>
      <c r="O220" s="3" t="s">
        <v>506</v>
      </c>
      <c r="P220" s="12" t="str">
        <f>HYPERLINK("http://slimages.macys.com/is/image/MCY/2097136 ")</f>
      </c>
    </row>
    <row r="221" spans="1:16" ht="24.75">
      <c r="A221" s="9" t="s">
        <v>752</v>
      </c>
      <c r="B221" s="3" t="s">
        <v>753</v>
      </c>
      <c r="C221" s="5" t="n">
        <v>1.0</v>
      </c>
      <c r="D221" s="6" t="n">
        <v>8.99</v>
      </c>
      <c r="E221" s="6" t="n">
        <v>8.99</v>
      </c>
      <c r="F221" s="10" t="n">
        <v>19.98</v>
      </c>
      <c r="G221" s="6" t="n">
        <v>19.98</v>
      </c>
      <c r="H221" s="5" t="s">
        <v>754</v>
      </c>
      <c r="I221" s="3" t="s">
        <v>173</v>
      </c>
      <c r="J221" s="11" t="s">
        <v>51</v>
      </c>
      <c r="K221" s="17" t="n">
        <v>3.90166</v>
      </c>
      <c r="L221" s="17" t="n">
        <v>3.90166</v>
      </c>
      <c r="M221" s="3" t="s">
        <v>21</v>
      </c>
      <c r="N221" s="3" t="s">
        <v>191</v>
      </c>
      <c r="O221" s="3" t="s">
        <v>282</v>
      </c>
      <c r="P221" s="12" t="str">
        <f>HYPERLINK("http://slimages.macys.com/is/image/MCY/2140591 ")</f>
      </c>
    </row>
    <row r="222" spans="1:16" ht="24.75">
      <c r="A222" s="9" t="s">
        <v>755</v>
      </c>
      <c r="B222" s="3" t="s">
        <v>756</v>
      </c>
      <c r="C222" s="5" t="n">
        <v>1.0</v>
      </c>
      <c r="D222" s="6" t="n">
        <v>8.99</v>
      </c>
      <c r="E222" s="6" t="n">
        <v>8.99</v>
      </c>
      <c r="F222" s="10" t="n">
        <v>19.98</v>
      </c>
      <c r="G222" s="6" t="n">
        <v>19.98</v>
      </c>
      <c r="H222" s="5" t="s">
        <v>754</v>
      </c>
      <c r="I222" s="3" t="s">
        <v>173</v>
      </c>
      <c r="J222" s="11" t="s">
        <v>48</v>
      </c>
      <c r="K222" s="17" t="n">
        <v>3.90166</v>
      </c>
      <c r="L222" s="17" t="n">
        <v>3.90166</v>
      </c>
      <c r="M222" s="3" t="s">
        <v>21</v>
      </c>
      <c r="N222" s="3" t="s">
        <v>191</v>
      </c>
      <c r="O222" s="3" t="s">
        <v>282</v>
      </c>
      <c r="P222" s="12" t="str">
        <f>HYPERLINK("http://slimages.macys.com/is/image/MCY/2140591 ")</f>
      </c>
    </row>
    <row r="223" spans="1:16">
      <c r="A223" s="9" t="s">
        <v>757</v>
      </c>
      <c r="B223" s="3" t="s">
        <v>758</v>
      </c>
      <c r="C223" s="5" t="n">
        <v>1.0</v>
      </c>
      <c r="D223" s="6" t="n">
        <v>8.9</v>
      </c>
      <c r="E223" s="6" t="n">
        <v>8.9</v>
      </c>
      <c r="F223" s="10" t="n">
        <v>24.99</v>
      </c>
      <c r="G223" s="6" t="n">
        <v>24.99</v>
      </c>
      <c r="H223" s="5" t="s">
        <v>759</v>
      </c>
      <c r="I223" s="3" t="s">
        <v>760</v>
      </c>
      <c r="J223" s="11" t="s">
        <v>76</v>
      </c>
      <c r="K223" s="17" t="n">
        <v>3.8626</v>
      </c>
      <c r="L223" s="17" t="n">
        <v>3.8626</v>
      </c>
      <c r="M223" s="3" t="s">
        <v>21</v>
      </c>
      <c r="N223" s="3" t="s">
        <v>77</v>
      </c>
      <c r="O223" s="3" t="s">
        <v>615</v>
      </c>
      <c r="P223" s="12" t="str">
        <f>HYPERLINK("http://slimages.macys.com/is/image/MCY/2277268 ")</f>
      </c>
    </row>
    <row r="224" spans="1:16" ht="24.75">
      <c r="A224" s="9" t="s">
        <v>761</v>
      </c>
      <c r="B224" s="3" t="s">
        <v>762</v>
      </c>
      <c r="C224" s="5" t="n">
        <v>1.0</v>
      </c>
      <c r="D224" s="6" t="n">
        <v>8.9</v>
      </c>
      <c r="E224" s="6" t="n">
        <v>8.9</v>
      </c>
      <c r="F224" s="10" t="n">
        <v>24.99</v>
      </c>
      <c r="G224" s="6" t="n">
        <v>24.99</v>
      </c>
      <c r="H224" s="5" t="s">
        <v>763</v>
      </c>
      <c r="I224" s="3" t="s">
        <v>137</v>
      </c>
      <c r="J224" s="11" t="s">
        <v>1033</v>
      </c>
      <c r="K224" s="17" t="n">
        <v>3.8626</v>
      </c>
      <c r="L224" s="17" t="n">
        <v>3.8626</v>
      </c>
      <c r="M224" s="3" t="s">
        <v>21</v>
      </c>
      <c r="N224" s="3" t="s">
        <v>77</v>
      </c>
      <c r="O224" s="3" t="s">
        <v>615</v>
      </c>
      <c r="P224" s="12" t="str">
        <f>HYPERLINK("http://slimages.macys.com/is/image/MCY/2117391 ")</f>
      </c>
    </row>
    <row r="225" spans="1:16" ht="24.75">
      <c r="A225" s="9" t="s">
        <v>764</v>
      </c>
      <c r="B225" s="3" t="s">
        <v>765</v>
      </c>
      <c r="C225" s="5" t="n">
        <v>1.0</v>
      </c>
      <c r="D225" s="6" t="n">
        <v>8.5</v>
      </c>
      <c r="E225" s="6" t="n">
        <v>8.5</v>
      </c>
      <c r="F225" s="10" t="n">
        <v>19.99</v>
      </c>
      <c r="G225" s="6" t="n">
        <v>19.99</v>
      </c>
      <c r="H225" s="5" t="s">
        <v>766</v>
      </c>
      <c r="I225" s="3" t="s">
        <v>704</v>
      </c>
      <c r="J225" s="11" t="s">
        <v>48</v>
      </c>
      <c r="K225" s="17" t="n">
        <v>3.689</v>
      </c>
      <c r="L225" s="17" t="n">
        <v>3.689</v>
      </c>
      <c r="M225" s="3" t="s">
        <v>21</v>
      </c>
      <c r="N225" s="3" t="s">
        <v>767</v>
      </c>
      <c r="O225" s="3" t="s">
        <v>615</v>
      </c>
      <c r="P225" s="12" t="str">
        <f>HYPERLINK("http://slimages.macys.com/is/image/MCY/2086642 ")</f>
      </c>
    </row>
    <row r="226" spans="1:16" ht="24.75">
      <c r="A226" s="9" t="s">
        <v>768</v>
      </c>
      <c r="B226" s="3" t="s">
        <v>769</v>
      </c>
      <c r="C226" s="5" t="n">
        <v>1.0</v>
      </c>
      <c r="D226" s="6" t="n">
        <v>8.5</v>
      </c>
      <c r="E226" s="6" t="n">
        <v>8.5</v>
      </c>
      <c r="F226" s="10" t="n">
        <v>17.99</v>
      </c>
      <c r="G226" s="6" t="n">
        <v>17.99</v>
      </c>
      <c r="H226" s="5" t="s">
        <v>770</v>
      </c>
      <c r="I226" s="3" t="s">
        <v>69</v>
      </c>
      <c r="J226" s="11" t="s">
        <v>36</v>
      </c>
      <c r="K226" s="17" t="n">
        <v>3.689</v>
      </c>
      <c r="L226" s="17" t="n">
        <v>3.689</v>
      </c>
      <c r="M226" s="3" t="s">
        <v>21</v>
      </c>
      <c r="N226" s="3" t="s">
        <v>625</v>
      </c>
      <c r="O226" s="3" t="s">
        <v>78</v>
      </c>
      <c r="P226" s="12" t="str">
        <f>HYPERLINK("http://slimages.macys.com/is/image/MCY/1928205 ")</f>
      </c>
    </row>
    <row r="227" spans="1:16" ht="24.75">
      <c r="A227" s="9" t="s">
        <v>771</v>
      </c>
      <c r="B227" s="3" t="s">
        <v>772</v>
      </c>
      <c r="C227" s="5" t="n">
        <v>1.0</v>
      </c>
      <c r="D227" s="6" t="n">
        <v>8.0</v>
      </c>
      <c r="E227" s="6" t="n">
        <v>8.0</v>
      </c>
      <c r="F227" s="10" t="n">
        <v>17.99</v>
      </c>
      <c r="G227" s="6" t="n">
        <v>17.99</v>
      </c>
      <c r="H227" s="5" t="s">
        <v>773</v>
      </c>
      <c r="I227" s="3" t="s">
        <v>748</v>
      </c>
      <c r="J227" s="11" t="s">
        <v>1033</v>
      </c>
      <c r="K227" s="17" t="n">
        <v>3.4720000000000004</v>
      </c>
      <c r="L227" s="17" t="n">
        <v>3.4720000000000004</v>
      </c>
      <c r="M227" s="3" t="s">
        <v>21</v>
      </c>
      <c r="N227" s="3" t="s">
        <v>77</v>
      </c>
      <c r="O227" s="3" t="s">
        <v>476</v>
      </c>
      <c r="P227" s="12" t="str">
        <f>HYPERLINK("http://slimages.macys.com/is/image/MCY/1554164 ")</f>
      </c>
    </row>
    <row r="228" spans="1:16" ht="24.75">
      <c r="A228" s="9" t="s">
        <v>774</v>
      </c>
      <c r="B228" s="3" t="s">
        <v>775</v>
      </c>
      <c r="C228" s="5" t="n">
        <v>1.0</v>
      </c>
      <c r="D228" s="6" t="n">
        <v>8.0</v>
      </c>
      <c r="E228" s="6" t="n">
        <v>8.0</v>
      </c>
      <c r="F228" s="10" t="n">
        <v>17.99</v>
      </c>
      <c r="G228" s="6" t="n">
        <v>17.99</v>
      </c>
      <c r="H228" s="5" t="s">
        <v>776</v>
      </c>
      <c r="I228" s="3" t="s">
        <v>173</v>
      </c>
      <c r="J228" s="11" t="s">
        <v>48</v>
      </c>
      <c r="K228" s="17" t="n">
        <v>3.4720000000000004</v>
      </c>
      <c r="L228" s="17" t="n">
        <v>3.4720000000000004</v>
      </c>
      <c r="M228" s="3" t="s">
        <v>21</v>
      </c>
      <c r="N228" s="3" t="s">
        <v>625</v>
      </c>
      <c r="O228" s="3" t="s">
        <v>78</v>
      </c>
      <c r="P228" s="12" t="str">
        <f>HYPERLINK("http://slimages.macys.com/is/image/MCY/1901190 ")</f>
      </c>
    </row>
    <row r="229" spans="1:16" ht="24.75">
      <c r="A229" s="9" t="s">
        <v>777</v>
      </c>
      <c r="B229" s="3" t="s">
        <v>778</v>
      </c>
      <c r="C229" s="5" t="n">
        <v>1.0</v>
      </c>
      <c r="D229" s="6" t="n">
        <v>8.0</v>
      </c>
      <c r="E229" s="6" t="n">
        <v>8.0</v>
      </c>
      <c r="F229" s="10" t="n">
        <v>17.99</v>
      </c>
      <c r="G229" s="6" t="n">
        <v>17.99</v>
      </c>
      <c r="H229" s="5" t="s">
        <v>779</v>
      </c>
      <c r="I229" s="3" t="s">
        <v>210</v>
      </c>
      <c r="J229" s="11" t="s">
        <v>1033</v>
      </c>
      <c r="K229" s="17" t="n">
        <v>3.4720000000000004</v>
      </c>
      <c r="L229" s="17" t="n">
        <v>3.4720000000000004</v>
      </c>
      <c r="M229" s="3" t="s">
        <v>21</v>
      </c>
      <c r="N229" s="3" t="s">
        <v>77</v>
      </c>
      <c r="O229" s="3" t="s">
        <v>476</v>
      </c>
      <c r="P229" s="12" t="str">
        <f>HYPERLINK("http://slimages.macys.com/is/image/MCY/1554164 ")</f>
      </c>
    </row>
    <row r="230" spans="1:16" ht="24.75">
      <c r="A230" s="9" t="s">
        <v>780</v>
      </c>
      <c r="B230" s="3" t="s">
        <v>781</v>
      </c>
      <c r="C230" s="5" t="n">
        <v>1.0</v>
      </c>
      <c r="D230" s="6" t="n">
        <v>8.0</v>
      </c>
      <c r="E230" s="6" t="n">
        <v>8.0</v>
      </c>
      <c r="F230" s="10" t="n">
        <v>17.99</v>
      </c>
      <c r="G230" s="6" t="n">
        <v>17.99</v>
      </c>
      <c r="H230" s="5" t="s">
        <v>782</v>
      </c>
      <c r="I230" s="3" t="s">
        <v>173</v>
      </c>
      <c r="J230" s="11" t="s">
        <v>51</v>
      </c>
      <c r="K230" s="17" t="n">
        <v>3.4720000000000004</v>
      </c>
      <c r="L230" s="17" t="n">
        <v>3.4720000000000004</v>
      </c>
      <c r="M230" s="3" t="s">
        <v>21</v>
      </c>
      <c r="N230" s="3" t="s">
        <v>689</v>
      </c>
      <c r="O230" s="3" t="s">
        <v>615</v>
      </c>
      <c r="P230" s="12" t="str">
        <f>HYPERLINK("http://slimages.macys.com/is/image/MCY/2039668 ")</f>
      </c>
    </row>
    <row r="231" spans="1:16" ht="24.75">
      <c r="A231" s="9" t="s">
        <v>783</v>
      </c>
      <c r="B231" s="3" t="s">
        <v>784</v>
      </c>
      <c r="C231" s="5" t="n">
        <v>1.0</v>
      </c>
      <c r="D231" s="6" t="n">
        <v>8.0</v>
      </c>
      <c r="E231" s="6" t="n">
        <v>8.0</v>
      </c>
      <c r="F231" s="10" t="n">
        <v>17.99</v>
      </c>
      <c r="G231" s="6" t="n">
        <v>17.99</v>
      </c>
      <c r="H231" s="5" t="s">
        <v>785</v>
      </c>
      <c r="I231" s="3" t="s">
        <v>464</v>
      </c>
      <c r="J231" s="11" t="s">
        <v>36</v>
      </c>
      <c r="K231" s="17" t="n">
        <v>3.4720000000000004</v>
      </c>
      <c r="L231" s="17" t="n">
        <v>3.4720000000000004</v>
      </c>
      <c r="M231" s="3" t="s">
        <v>21</v>
      </c>
      <c r="N231" s="3" t="s">
        <v>689</v>
      </c>
      <c r="O231" s="3" t="s">
        <v>615</v>
      </c>
      <c r="P231" s="12" t="str">
        <f>HYPERLINK("http://slimages.macys.com/is/image/MCY/2076060 ")</f>
      </c>
    </row>
    <row r="232" spans="1:16" ht="24.75">
      <c r="A232" s="9" t="s">
        <v>786</v>
      </c>
      <c r="B232" s="3" t="s">
        <v>787</v>
      </c>
      <c r="C232" s="5" t="n">
        <v>1.0</v>
      </c>
      <c r="D232" s="6" t="n">
        <v>7.75</v>
      </c>
      <c r="E232" s="6" t="n">
        <v>7.75</v>
      </c>
      <c r="F232" s="10" t="n">
        <v>15.99</v>
      </c>
      <c r="G232" s="6" t="n">
        <v>15.99</v>
      </c>
      <c r="H232" s="5" t="s">
        <v>788</v>
      </c>
      <c r="I232" s="3" t="s">
        <v>137</v>
      </c>
      <c r="J232" s="11" t="s">
        <v>1033</v>
      </c>
      <c r="K232" s="17" t="n">
        <v>3.3635</v>
      </c>
      <c r="L232" s="17" t="n">
        <v>3.3635</v>
      </c>
      <c r="M232" s="3" t="s">
        <v>21</v>
      </c>
      <c r="N232" s="3" t="s">
        <v>77</v>
      </c>
      <c r="O232" s="3" t="s">
        <v>615</v>
      </c>
      <c r="P232" s="12" t="str">
        <f>HYPERLINK("http://slimages.macys.com/is/image/MCY/1967725 ")</f>
      </c>
    </row>
    <row r="233" spans="1:16" ht="24.75">
      <c r="A233" s="9" t="s">
        <v>789</v>
      </c>
      <c r="B233" s="3" t="s">
        <v>790</v>
      </c>
      <c r="C233" s="5" t="n">
        <v>1.0</v>
      </c>
      <c r="D233" s="6" t="n">
        <v>7.75</v>
      </c>
      <c r="E233" s="6" t="n">
        <v>7.75</v>
      </c>
      <c r="F233" s="10" t="n">
        <v>15.99</v>
      </c>
      <c r="G233" s="6" t="n">
        <v>15.99</v>
      </c>
      <c r="H233" s="5" t="s">
        <v>791</v>
      </c>
      <c r="I233" s="3" t="s">
        <v>62</v>
      </c>
      <c r="J233" s="11" t="s">
        <v>1033</v>
      </c>
      <c r="K233" s="17" t="n">
        <v>3.3635</v>
      </c>
      <c r="L233" s="17" t="n">
        <v>3.3635</v>
      </c>
      <c r="M233" s="3" t="s">
        <v>21</v>
      </c>
      <c r="N233" s="3" t="s">
        <v>77</v>
      </c>
      <c r="O233" s="3" t="s">
        <v>615</v>
      </c>
      <c r="P233" s="12" t="str">
        <f>HYPERLINK("http://slimages.macys.com/is/image/MCY/1484667 ")</f>
      </c>
    </row>
    <row r="234" spans="1:16" ht="24.75">
      <c r="A234" s="9" t="s">
        <v>792</v>
      </c>
      <c r="B234" s="3" t="s">
        <v>793</v>
      </c>
      <c r="C234" s="5" t="n">
        <v>1.0</v>
      </c>
      <c r="D234" s="6" t="n">
        <v>7.22</v>
      </c>
      <c r="E234" s="6" t="n">
        <v>7.22</v>
      </c>
      <c r="F234" s="10" t="n">
        <v>9.99</v>
      </c>
      <c r="G234" s="6" t="n">
        <v>9.99</v>
      </c>
      <c r="H234" s="5" t="s">
        <v>794</v>
      </c>
      <c r="I234" s="3" t="s">
        <v>161</v>
      </c>
      <c r="J234" s="11" t="s">
        <v>51</v>
      </c>
      <c r="K234" s="17" t="n">
        <v>3.13348</v>
      </c>
      <c r="L234" s="17" t="n">
        <v>3.13348</v>
      </c>
      <c r="M234" s="3" t="s">
        <v>21</v>
      </c>
      <c r="N234" s="3" t="s">
        <v>795</v>
      </c>
      <c r="O234" s="3" t="s">
        <v>796</v>
      </c>
      <c r="P234" s="12" t="str">
        <f>HYPERLINK("http://slimages.macys.com/is/image/MCY/1486056 ")</f>
      </c>
    </row>
    <row r="235" spans="1:16" ht="24.75">
      <c r="A235" s="9" t="s">
        <v>797</v>
      </c>
      <c r="B235" s="3" t="s">
        <v>798</v>
      </c>
      <c r="C235" s="5" t="n">
        <v>1.0</v>
      </c>
      <c r="D235" s="6" t="n">
        <v>6.74</v>
      </c>
      <c r="E235" s="6" t="n">
        <v>6.74</v>
      </c>
      <c r="F235" s="10" t="n">
        <v>14.98</v>
      </c>
      <c r="G235" s="6" t="n">
        <v>14.98</v>
      </c>
      <c r="H235" s="5" t="s">
        <v>799</v>
      </c>
      <c r="I235" s="3" t="s">
        <v>47</v>
      </c>
      <c r="J235" s="11" t="s">
        <v>42</v>
      </c>
      <c r="K235" s="17" t="n">
        <v>2.92516</v>
      </c>
      <c r="L235" s="17" t="n">
        <v>2.92516</v>
      </c>
      <c r="M235" s="3" t="s">
        <v>21</v>
      </c>
      <c r="N235" s="3" t="s">
        <v>191</v>
      </c>
      <c r="O235" s="3" t="s">
        <v>282</v>
      </c>
      <c r="P235" s="12" t="str">
        <f>HYPERLINK("http://slimages.macys.com/is/image/MCY/1936750 ")</f>
      </c>
    </row>
    <row r="236" spans="1:16" ht="24.75">
      <c r="A236" s="9" t="s">
        <v>800</v>
      </c>
      <c r="B236" s="3" t="s">
        <v>801</v>
      </c>
      <c r="C236" s="5" t="n">
        <v>1.0</v>
      </c>
      <c r="D236" s="6" t="n">
        <v>6.74</v>
      </c>
      <c r="E236" s="6" t="n">
        <v>6.74</v>
      </c>
      <c r="F236" s="10" t="n">
        <v>14.98</v>
      </c>
      <c r="G236" s="6" t="n">
        <v>14.98</v>
      </c>
      <c r="H236" s="5" t="s">
        <v>799</v>
      </c>
      <c r="I236" s="3" t="s">
        <v>47</v>
      </c>
      <c r="J236" s="11" t="s">
        <v>36</v>
      </c>
      <c r="K236" s="17" t="n">
        <v>2.92516</v>
      </c>
      <c r="L236" s="17" t="n">
        <v>2.92516</v>
      </c>
      <c r="M236" s="3" t="s">
        <v>21</v>
      </c>
      <c r="N236" s="3" t="s">
        <v>191</v>
      </c>
      <c r="O236" s="3" t="s">
        <v>282</v>
      </c>
      <c r="P236" s="12" t="str">
        <f>HYPERLINK("http://slimages.macys.com/is/image/MCY/1936750 ")</f>
      </c>
    </row>
    <row r="237" spans="1:16" ht="24.75">
      <c r="A237" s="9" t="s">
        <v>802</v>
      </c>
      <c r="B237" s="3" t="s">
        <v>803</v>
      </c>
      <c r="C237" s="5" t="n">
        <v>1.0</v>
      </c>
      <c r="D237" s="6" t="n">
        <v>6.74</v>
      </c>
      <c r="E237" s="6" t="n">
        <v>6.74</v>
      </c>
      <c r="F237" s="10" t="n">
        <v>14.98</v>
      </c>
      <c r="G237" s="6" t="n">
        <v>14.98</v>
      </c>
      <c r="H237" s="5" t="s">
        <v>804</v>
      </c>
      <c r="I237" s="3" t="s">
        <v>475</v>
      </c>
      <c r="J237" s="11" t="s">
        <v>42</v>
      </c>
      <c r="K237" s="17" t="n">
        <v>2.92516</v>
      </c>
      <c r="L237" s="17" t="n">
        <v>2.92516</v>
      </c>
      <c r="M237" s="3" t="s">
        <v>21</v>
      </c>
      <c r="N237" s="3" t="s">
        <v>191</v>
      </c>
      <c r="O237" s="3" t="s">
        <v>282</v>
      </c>
      <c r="P237" s="12" t="str">
        <f>HYPERLINK("http://slimages.macys.com/is/image/MCY/2140619 ")</f>
      </c>
    </row>
    <row r="238" spans="1:16" ht="24.75">
      <c r="A238" s="9" t="s">
        <v>805</v>
      </c>
      <c r="B238" s="3" t="s">
        <v>806</v>
      </c>
      <c r="C238" s="5" t="n">
        <v>1.0</v>
      </c>
      <c r="D238" s="6" t="n">
        <v>6.74</v>
      </c>
      <c r="E238" s="6" t="n">
        <v>6.74</v>
      </c>
      <c r="F238" s="10" t="n">
        <v>14.98</v>
      </c>
      <c r="G238" s="6" t="n">
        <v>14.98</v>
      </c>
      <c r="H238" s="5" t="s">
        <v>807</v>
      </c>
      <c r="I238" s="3" t="s">
        <v>265</v>
      </c>
      <c r="J238" s="11" t="s">
        <v>48</v>
      </c>
      <c r="K238" s="17" t="n">
        <v>2.92516</v>
      </c>
      <c r="L238" s="17" t="n">
        <v>2.92516</v>
      </c>
      <c r="M238" s="3" t="s">
        <v>21</v>
      </c>
      <c r="N238" s="3" t="s">
        <v>191</v>
      </c>
      <c r="O238" s="3" t="s">
        <v>282</v>
      </c>
      <c r="P238" s="12" t="str">
        <f>HYPERLINK("http://slimages.macys.com/is/image/MCY/2062370 ")</f>
      </c>
    </row>
    <row r="239" spans="1:16" ht="24.75">
      <c r="A239" s="9" t="s">
        <v>808</v>
      </c>
      <c r="B239" s="3" t="s">
        <v>809</v>
      </c>
      <c r="C239" s="5" t="n">
        <v>1.0</v>
      </c>
      <c r="D239" s="6" t="n">
        <v>6.74</v>
      </c>
      <c r="E239" s="6" t="n">
        <v>6.74</v>
      </c>
      <c r="F239" s="10" t="n">
        <v>14.98</v>
      </c>
      <c r="G239" s="6" t="n">
        <v>14.98</v>
      </c>
      <c r="H239" s="5" t="s">
        <v>804</v>
      </c>
      <c r="I239" s="3" t="s">
        <v>475</v>
      </c>
      <c r="J239" s="11" t="s">
        <v>48</v>
      </c>
      <c r="K239" s="17" t="n">
        <v>2.92516</v>
      </c>
      <c r="L239" s="17" t="n">
        <v>2.92516</v>
      </c>
      <c r="M239" s="3" t="s">
        <v>21</v>
      </c>
      <c r="N239" s="3" t="s">
        <v>191</v>
      </c>
      <c r="O239" s="3" t="s">
        <v>282</v>
      </c>
      <c r="P239" s="12" t="str">
        <f>HYPERLINK("http://slimages.macys.com/is/image/MCY/2140619 ")</f>
      </c>
    </row>
    <row r="240" spans="1:16" ht="24.75">
      <c r="A240" s="9" t="s">
        <v>810</v>
      </c>
      <c r="B240" s="3" t="s">
        <v>811</v>
      </c>
      <c r="C240" s="5" t="n">
        <v>1.0</v>
      </c>
      <c r="D240" s="6" t="n">
        <v>6.25</v>
      </c>
      <c r="E240" s="6" t="n">
        <v>6.25</v>
      </c>
      <c r="F240" s="10" t="n">
        <v>12.99</v>
      </c>
      <c r="G240" s="6" t="n">
        <v>12.99</v>
      </c>
      <c r="H240" s="5" t="s">
        <v>812</v>
      </c>
      <c r="I240" s="3" t="s">
        <v>47</v>
      </c>
      <c r="J240" s="11" t="s">
        <v>54</v>
      </c>
      <c r="K240" s="17" t="n">
        <v>2.7125</v>
      </c>
      <c r="L240" s="17" t="n">
        <v>2.7125</v>
      </c>
      <c r="M240" s="3" t="s">
        <v>21</v>
      </c>
      <c r="N240" s="3" t="s">
        <v>625</v>
      </c>
      <c r="O240" s="3" t="s">
        <v>813</v>
      </c>
      <c r="P240" s="12" t="str">
        <f>HYPERLINK("http://slimages.macys.com/is/image/MCY/1743070 ")</f>
      </c>
    </row>
    <row r="241" spans="1:16" ht="24.75">
      <c r="A241" s="9" t="s">
        <v>814</v>
      </c>
      <c r="B241" s="3" t="s">
        <v>815</v>
      </c>
      <c r="C241" s="5" t="n">
        <v>1.0</v>
      </c>
      <c r="D241" s="6" t="n">
        <v>5.0</v>
      </c>
      <c r="E241" s="6" t="n">
        <v>5.0</v>
      </c>
      <c r="F241" s="10" t="n">
        <v>14.98</v>
      </c>
      <c r="G241" s="6" t="n">
        <v>14.98</v>
      </c>
      <c r="H241" s="5" t="s">
        <v>794</v>
      </c>
      <c r="I241" s="3" t="s">
        <v>47</v>
      </c>
      <c r="J241" s="11" t="s">
        <v>51</v>
      </c>
      <c r="K241" s="17" t="n">
        <v>2.17</v>
      </c>
      <c r="L241" s="17" t="n">
        <v>2.17</v>
      </c>
      <c r="M241" s="3" t="s">
        <v>21</v>
      </c>
      <c r="N241" s="3" t="s">
        <v>795</v>
      </c>
      <c r="O241" s="3" t="s">
        <v>796</v>
      </c>
      <c r="P241" s="12" t="str">
        <f>HYPERLINK("http://slimages.macys.com/is/image/MCY/1486056 ")</f>
      </c>
    </row>
    <row r="242" spans="1:16" ht="24.75">
      <c r="A242" s="9" t="s">
        <v>816</v>
      </c>
      <c r="B242" s="3" t="s">
        <v>817</v>
      </c>
      <c r="C242" s="5" t="n">
        <v>4.0</v>
      </c>
      <c r="D242" s="6" t="n">
        <v>4.85</v>
      </c>
      <c r="E242" s="6" t="n">
        <v>19.4</v>
      </c>
      <c r="F242" s="10" t="n">
        <v>9.99</v>
      </c>
      <c r="G242" s="6" t="n">
        <v>39.96</v>
      </c>
      <c r="H242" s="5" t="s">
        <v>818</v>
      </c>
      <c r="I242" s="3" t="s">
        <v>173</v>
      </c>
      <c r="J242" s="11" t="s">
        <v>54</v>
      </c>
      <c r="K242" s="17" t="n">
        <v>2.1049</v>
      </c>
      <c r="L242" s="17" t="n">
        <v>8.4196</v>
      </c>
      <c r="M242" s="3" t="s">
        <v>21</v>
      </c>
      <c r="N242" s="3" t="s">
        <v>689</v>
      </c>
      <c r="O242" s="3" t="s">
        <v>615</v>
      </c>
      <c r="P242" s="12" t="str">
        <f>HYPERLINK("http://slimages.macys.com/is/image/MCY/2018703 ")</f>
      </c>
    </row>
    <row r="243" spans="1:16" ht="24.75">
      <c r="A243" s="9" t="s">
        <v>819</v>
      </c>
      <c r="B243" s="3" t="s">
        <v>820</v>
      </c>
      <c r="C243" s="5" t="n">
        <v>2.0</v>
      </c>
      <c r="D243" s="6" t="n">
        <v>4.85</v>
      </c>
      <c r="E243" s="6" t="n">
        <v>9.7</v>
      </c>
      <c r="F243" s="10" t="n">
        <v>9.99</v>
      </c>
      <c r="G243" s="6" t="n">
        <v>19.98</v>
      </c>
      <c r="H243" s="5" t="s">
        <v>818</v>
      </c>
      <c r="I243" s="3" t="s">
        <v>173</v>
      </c>
      <c r="J243" s="11" t="s">
        <v>36</v>
      </c>
      <c r="K243" s="17" t="n">
        <v>2.1049</v>
      </c>
      <c r="L243" s="17" t="n">
        <v>4.2098</v>
      </c>
      <c r="M243" s="3" t="s">
        <v>21</v>
      </c>
      <c r="N243" s="3" t="s">
        <v>689</v>
      </c>
      <c r="O243" s="3" t="s">
        <v>615</v>
      </c>
      <c r="P243" s="12" t="str">
        <f>HYPERLINK("http://slimages.macys.com/is/image/MCY/2018703 ")</f>
      </c>
    </row>
    <row r="244" spans="1:16" ht="24.75">
      <c r="A244" s="9" t="s">
        <v>821</v>
      </c>
      <c r="B244" s="3" t="s">
        <v>822</v>
      </c>
      <c r="C244" s="5" t="n">
        <v>3.0</v>
      </c>
      <c r="D244" s="6" t="n">
        <v>4.85</v>
      </c>
      <c r="E244" s="6" t="n">
        <v>14.55</v>
      </c>
      <c r="F244" s="10" t="n">
        <v>9.99</v>
      </c>
      <c r="G244" s="6" t="n">
        <v>29.97</v>
      </c>
      <c r="H244" s="5" t="s">
        <v>823</v>
      </c>
      <c r="I244" s="3" t="s">
        <v>47</v>
      </c>
      <c r="J244" s="11" t="s">
        <v>36</v>
      </c>
      <c r="K244" s="17" t="n">
        <v>2.1049</v>
      </c>
      <c r="L244" s="17" t="n">
        <v>6.3147</v>
      </c>
      <c r="M244" s="3" t="s">
        <v>21</v>
      </c>
      <c r="N244" s="3" t="s">
        <v>689</v>
      </c>
      <c r="O244" s="3" t="s">
        <v>615</v>
      </c>
      <c r="P244" s="12" t="str">
        <f>HYPERLINK("http://slimages.macys.com/is/image/MCY/2018703 ")</f>
      </c>
    </row>
    <row r="245" spans="1:16" ht="24.75">
      <c r="A245" s="9" t="s">
        <v>824</v>
      </c>
      <c r="B245" s="3" t="s">
        <v>825</v>
      </c>
      <c r="C245" s="5" t="n">
        <v>1.0</v>
      </c>
      <c r="D245" s="6" t="n">
        <v>4.8</v>
      </c>
      <c r="E245" s="6" t="n">
        <v>4.8</v>
      </c>
      <c r="F245" s="10" t="n">
        <v>9.99</v>
      </c>
      <c r="G245" s="6" t="n">
        <v>9.99</v>
      </c>
      <c r="H245" s="5" t="s">
        <v>826</v>
      </c>
      <c r="I245" s="3" t="s">
        <v>827</v>
      </c>
      <c r="J245" s="11" t="s">
        <v>42</v>
      </c>
      <c r="K245" s="17" t="n">
        <v>2.0832</v>
      </c>
      <c r="L245" s="17" t="n">
        <v>2.0832</v>
      </c>
      <c r="M245" s="3" t="s">
        <v>21</v>
      </c>
      <c r="N245" s="3" t="s">
        <v>689</v>
      </c>
      <c r="O245" s="3" t="s">
        <v>615</v>
      </c>
      <c r="P245" s="12" t="str">
        <f>HYPERLINK("http://slimages.macys.com/is/image/MCY/2062496 ")</f>
      </c>
    </row>
    <row r="246" spans="1:16" ht="24.75">
      <c r="A246" s="9" t="s">
        <v>828</v>
      </c>
      <c r="B246" s="3" t="s">
        <v>829</v>
      </c>
      <c r="C246" s="5" t="n">
        <v>1.0</v>
      </c>
      <c r="D246" s="6" t="n">
        <v>3.0</v>
      </c>
      <c r="E246" s="6" t="n">
        <v>3.0</v>
      </c>
      <c r="F246" s="10" t="n">
        <v>5.99</v>
      </c>
      <c r="G246" s="6" t="n">
        <v>5.99</v>
      </c>
      <c r="H246" s="5" t="s">
        <v>830</v>
      </c>
      <c r="I246" s="3" t="s">
        <v>69</v>
      </c>
      <c r="J246" s="11" t="s">
        <v>42</v>
      </c>
      <c r="K246" s="17" t="n">
        <v>1.302</v>
      </c>
      <c r="L246" s="17" t="n">
        <v>1.302</v>
      </c>
      <c r="M246" s="3" t="s">
        <v>21</v>
      </c>
      <c r="N246" s="3" t="s">
        <v>795</v>
      </c>
      <c r="O246" s="3" t="s">
        <v>796</v>
      </c>
      <c r="P246" s="12" t="str">
        <f>HYPERLINK("http://slimages.macys.com/is/image/MCY/2224644 ")</f>
      </c>
    </row>
    <row r="247" spans="1:16">
      <c r="A247" s="9" t="s">
        <v>831</v>
      </c>
      <c r="B247" s="3" t="s">
        <v>832</v>
      </c>
      <c r="C247" s="5" t="n">
        <v>3.0</v>
      </c>
      <c r="D247" s="6" t="n">
        <v>3.0</v>
      </c>
      <c r="E247" s="6" t="n">
        <v>9.0</v>
      </c>
      <c r="F247" s="10" t="n">
        <v>5.99</v>
      </c>
      <c r="G247" s="6" t="n">
        <v>17.97</v>
      </c>
      <c r="H247" s="5" t="s">
        <v>833</v>
      </c>
      <c r="I247" s="3" t="s">
        <v>82</v>
      </c>
      <c r="J247" s="11" t="s">
        <v>36</v>
      </c>
      <c r="K247" s="17" t="n">
        <v>1.302</v>
      </c>
      <c r="L247" s="17" t="n">
        <v>3.906</v>
      </c>
      <c r="M247" s="3" t="s">
        <v>21</v>
      </c>
      <c r="N247" s="3" t="s">
        <v>795</v>
      </c>
      <c r="O247" s="3" t="s">
        <v>796</v>
      </c>
      <c r="P247" s="12" t="str">
        <f>HYPERLINK("http://slimages.macys.com/is/image/MCY/2224646 ")</f>
      </c>
    </row>
    <row r="248" spans="1:16" ht="24.75">
      <c r="A248" s="9" t="s">
        <v>834</v>
      </c>
      <c r="B248" s="3" t="s">
        <v>835</v>
      </c>
      <c r="C248" s="5" t="n">
        <v>1.0</v>
      </c>
      <c r="D248" s="6" t="n">
        <v>3.0</v>
      </c>
      <c r="E248" s="6" t="n">
        <v>3.0</v>
      </c>
      <c r="F248" s="10" t="n">
        <v>5.99</v>
      </c>
      <c r="G248" s="6" t="n">
        <v>5.99</v>
      </c>
      <c r="H248" s="5" t="s">
        <v>833</v>
      </c>
      <c r="I248" s="3" t="s">
        <v>82</v>
      </c>
      <c r="J248" s="11" t="s">
        <v>54</v>
      </c>
      <c r="K248" s="17" t="n">
        <v>1.302</v>
      </c>
      <c r="L248" s="17" t="n">
        <v>1.302</v>
      </c>
      <c r="M248" s="3" t="s">
        <v>21</v>
      </c>
      <c r="N248" s="3" t="s">
        <v>795</v>
      </c>
      <c r="O248" s="3" t="s">
        <v>796</v>
      </c>
      <c r="P248" s="12" t="str">
        <f>HYPERLINK("http://slimages.macys.com/is/image/MCY/2224646 ")</f>
      </c>
    </row>
    <row r="249" spans="1:16">
      <c r="A249" s="9" t="s">
        <v>836</v>
      </c>
      <c r="B249" s="3" t="s">
        <v>837</v>
      </c>
      <c r="C249" s="5" t="n">
        <v>2.0</v>
      </c>
      <c r="D249" s="6" t="n">
        <v>3.0</v>
      </c>
      <c r="E249" s="6" t="n">
        <v>6.0</v>
      </c>
      <c r="F249" s="10" t="n">
        <v>5.99</v>
      </c>
      <c r="G249" s="6" t="n">
        <v>11.98</v>
      </c>
      <c r="H249" s="5" t="s">
        <v>838</v>
      </c>
      <c r="I249" s="3" t="s">
        <v>47</v>
      </c>
      <c r="J249" s="11" t="s">
        <v>54</v>
      </c>
      <c r="K249" s="17" t="n">
        <v>1.302</v>
      </c>
      <c r="L249" s="17" t="n">
        <v>2.604</v>
      </c>
      <c r="M249" s="3" t="s">
        <v>21</v>
      </c>
      <c r="N249" s="3" t="s">
        <v>795</v>
      </c>
      <c r="O249" s="3" t="s">
        <v>796</v>
      </c>
      <c r="P249" s="12" t="str">
        <f>HYPERLINK("http://slimages.macys.com/is/image/MCY/1546992 ")</f>
      </c>
    </row>
    <row r="250" spans="1:16">
      <c r="A250" s="9" t="s">
        <v>839</v>
      </c>
      <c r="B250" s="3" t="s">
        <v>840</v>
      </c>
      <c r="C250" s="5" t="n">
        <v>1.0</v>
      </c>
      <c r="D250" s="6" t="n">
        <v>98.0</v>
      </c>
      <c r="E250" s="6" t="n">
        <v>98.0</v>
      </c>
      <c r="F250" s="10" t="n">
        <v>235.0</v>
      </c>
      <c r="G250" s="6" t="n">
        <v>235.0</v>
      </c>
      <c r="H250" s="5" t="n">
        <v>5.0810163E8</v>
      </c>
      <c r="I250" s="3" t="s">
        <v>62</v>
      </c>
      <c r="J250" s="11" t="s">
        <v>590</v>
      </c>
      <c r="K250" s="17" t="n">
        <v>42.532000000000004</v>
      </c>
      <c r="L250" s="17" t="n">
        <v>42.532000000000004</v>
      </c>
      <c r="M250" s="3" t="s">
        <v>20</v>
      </c>
      <c r="N250" s="3" t="s">
        <v>64</v>
      </c>
      <c r="O250" s="3" t="s">
        <v>841</v>
      </c>
      <c r="P250" s="12" t="str">
        <f>HYPERLINK("http://slimages.macys.com/is/image/MCY/1546992 ")</f>
      </c>
    </row>
    <row r="251" spans="1:16">
      <c r="A251" s="9" t="s">
        <v>842</v>
      </c>
      <c r="B251" s="3" t="s">
        <v>843</v>
      </c>
      <c r="C251" s="5" t="n">
        <v>2.0</v>
      </c>
      <c r="D251" s="6" t="n">
        <v>86.0</v>
      </c>
      <c r="E251" s="6" t="n">
        <v>172.0</v>
      </c>
      <c r="F251" s="10" t="n">
        <v>189.0</v>
      </c>
      <c r="G251" s="6" t="n">
        <v>378.0</v>
      </c>
      <c r="H251" s="5" t="s">
        <v>844</v>
      </c>
      <c r="I251" s="3" t="s">
        <v>748</v>
      </c>
      <c r="J251" s="11" t="s">
        <v>88</v>
      </c>
      <c r="K251" s="17" t="n">
        <v>37.324</v>
      </c>
      <c r="L251" s="17" t="n">
        <v>74.648</v>
      </c>
      <c r="M251" s="3" t="s">
        <v>20</v>
      </c>
      <c r="N251" s="3" t="s">
        <v>64</v>
      </c>
      <c r="O251" s="3" t="s">
        <v>84</v>
      </c>
      <c r="P251" s="12" t="str">
        <f>HYPERLINK("http://slimages.macys.com/is/image/MCY/1546992 ")</f>
      </c>
    </row>
    <row r="252" spans="1:16">
      <c r="A252" s="9" t="s">
        <v>845</v>
      </c>
      <c r="B252" s="3" t="s">
        <v>846</v>
      </c>
      <c r="C252" s="5" t="n">
        <v>1.0</v>
      </c>
      <c r="D252" s="6" t="n">
        <v>85.0</v>
      </c>
      <c r="E252" s="6" t="n">
        <v>85.0</v>
      </c>
      <c r="F252" s="10" t="n">
        <v>178.0</v>
      </c>
      <c r="G252" s="6" t="n">
        <v>178.0</v>
      </c>
      <c r="H252" s="5" t="s">
        <v>847</v>
      </c>
      <c r="I252" s="3" t="s">
        <v>130</v>
      </c>
      <c r="J252" s="11" t="s">
        <v>70</v>
      </c>
      <c r="K252" s="17" t="n">
        <v>36.89</v>
      </c>
      <c r="L252" s="17" t="n">
        <v>36.89</v>
      </c>
      <c r="M252" s="3" t="s">
        <v>20</v>
      </c>
      <c r="N252" s="3" t="s">
        <v>64</v>
      </c>
      <c r="O252" s="3" t="s">
        <v>71</v>
      </c>
      <c r="P252" s="12" t="str">
        <f>HYPERLINK("http://slimages.macys.com/is/image/MCY/1546992 ")</f>
        <v xml:space="preserve"/>
      </c>
    </row>
    <row r="253" spans="1:16" ht="24.75">
      <c r="A253" s="9" t="s">
        <v>848</v>
      </c>
      <c r="B253" s="3" t="s">
        <v>849</v>
      </c>
      <c r="C253" s="5" t="n">
        <v>1.0</v>
      </c>
      <c r="D253" s="6" t="n">
        <v>65.0</v>
      </c>
      <c r="E253" s="6" t="n">
        <v>65.0</v>
      </c>
      <c r="F253" s="10" t="n">
        <v>148.0</v>
      </c>
      <c r="G253" s="6" t="n">
        <v>148.0</v>
      </c>
      <c r="H253" s="5" t="s">
        <v>850</v>
      </c>
      <c r="I253" s="3" t="s">
        <v>367</v>
      </c>
      <c r="J253" s="11" t="s">
        <v>197</v>
      </c>
      <c r="K253" s="17" t="n">
        <v>28.21</v>
      </c>
      <c r="L253" s="17" t="n">
        <v>28.21</v>
      </c>
      <c r="M253" s="3" t="s">
        <v>20</v>
      </c>
      <c r="N253" s="3" t="s">
        <v>186</v>
      </c>
      <c r="O253" s="3" t="s">
        <v>187</v>
      </c>
      <c r="P253" s="12" t="s">
        <v>1033</v>
      </c>
    </row>
    <row r="254" spans="1:16" ht="24.75">
      <c r="A254" s="9" t="s">
        <v>851</v>
      </c>
      <c r="B254" s="3" t="s">
        <v>852</v>
      </c>
      <c r="C254" s="5" t="n">
        <v>1.0</v>
      </c>
      <c r="D254" s="6" t="n">
        <v>63.0</v>
      </c>
      <c r="E254" s="6" t="n">
        <v>63.0</v>
      </c>
      <c r="F254" s="10" t="n">
        <v>138.0</v>
      </c>
      <c r="G254" s="6" t="n">
        <v>138.0</v>
      </c>
      <c r="H254" s="5" t="s">
        <v>853</v>
      </c>
      <c r="I254" s="3" t="s">
        <v>196</v>
      </c>
      <c r="J254" s="11" t="s">
        <v>854</v>
      </c>
      <c r="K254" s="17" t="n">
        <v>27.342000000000002</v>
      </c>
      <c r="L254" s="17" t="n">
        <v>27.342000000000002</v>
      </c>
      <c r="M254" s="3" t="s">
        <v>20</v>
      </c>
      <c r="N254" s="3" t="s">
        <v>64</v>
      </c>
      <c r="O254" s="3" t="s">
        <v>65</v>
      </c>
      <c r="P254" s="12" t="s">
        <v>1033</v>
      </c>
    </row>
    <row r="255" spans="1:16" ht="24.75">
      <c r="A255" s="9" t="s">
        <v>855</v>
      </c>
      <c r="B255" s="3" t="s">
        <v>856</v>
      </c>
      <c r="C255" s="5" t="n">
        <v>1.0</v>
      </c>
      <c r="D255" s="6" t="n">
        <v>60.5</v>
      </c>
      <c r="E255" s="6" t="n">
        <v>60.5</v>
      </c>
      <c r="F255" s="10" t="n">
        <v>138.0</v>
      </c>
      <c r="G255" s="6" t="n">
        <v>138.0</v>
      </c>
      <c r="H255" s="5" t="s">
        <v>857</v>
      </c>
      <c r="I255" s="3" t="s">
        <v>858</v>
      </c>
      <c r="J255" s="11" t="s">
        <v>51</v>
      </c>
      <c r="K255" s="17" t="n">
        <v>26.257</v>
      </c>
      <c r="L255" s="17" t="n">
        <v>26.257</v>
      </c>
      <c r="M255" s="3" t="s">
        <v>21</v>
      </c>
      <c r="N255" s="3" t="s">
        <v>859</v>
      </c>
      <c r="O255" s="3" t="s">
        <v>860</v>
      </c>
      <c r="P255" s="12" t="s">
        <v>1033</v>
      </c>
    </row>
    <row r="256" spans="1:16" ht="24.75">
      <c r="A256" s="9" t="s">
        <v>861</v>
      </c>
      <c r="B256" s="3" t="s">
        <v>862</v>
      </c>
      <c r="C256" s="5" t="n">
        <v>1.0</v>
      </c>
      <c r="D256" s="6" t="n">
        <v>57.5</v>
      </c>
      <c r="E256" s="6" t="n">
        <v>57.5</v>
      </c>
      <c r="F256" s="10" t="n">
        <v>130.0</v>
      </c>
      <c r="G256" s="6" t="n">
        <v>130.0</v>
      </c>
      <c r="H256" s="5" t="s">
        <v>863</v>
      </c>
      <c r="I256" s="3" t="s">
        <v>41</v>
      </c>
      <c r="J256" s="11" t="s">
        <v>88</v>
      </c>
      <c r="K256" s="17" t="n">
        <v>24.955000000000002</v>
      </c>
      <c r="L256" s="17" t="n">
        <v>24.955000000000002</v>
      </c>
      <c r="M256" s="3" t="s">
        <v>21</v>
      </c>
      <c r="N256" s="3" t="s">
        <v>64</v>
      </c>
      <c r="O256" s="3" t="s">
        <v>187</v>
      </c>
      <c r="P256" s="12" t="s">
        <v>1033</v>
      </c>
    </row>
    <row r="257" spans="1:16" ht="24.75">
      <c r="A257" s="9" t="s">
        <v>864</v>
      </c>
      <c r="B257" s="3" t="s">
        <v>865</v>
      </c>
      <c r="C257" s="5" t="n">
        <v>1.0</v>
      </c>
      <c r="D257" s="6" t="n">
        <v>52.0</v>
      </c>
      <c r="E257" s="6" t="n">
        <v>52.0</v>
      </c>
      <c r="F257" s="10" t="n">
        <v>118.0</v>
      </c>
      <c r="G257" s="6" t="n">
        <v>118.0</v>
      </c>
      <c r="H257" s="5" t="s">
        <v>866</v>
      </c>
      <c r="I257" s="3" t="s">
        <v>210</v>
      </c>
      <c r="J257" s="11" t="s">
        <v>36</v>
      </c>
      <c r="K257" s="17" t="n">
        <v>22.568</v>
      </c>
      <c r="L257" s="17" t="n">
        <v>22.568</v>
      </c>
      <c r="M257" s="3" t="s">
        <v>21</v>
      </c>
      <c r="N257" s="3" t="s">
        <v>859</v>
      </c>
      <c r="O257" s="3" t="s">
        <v>860</v>
      </c>
      <c r="P257" s="12" t="s">
        <v>1033</v>
      </c>
    </row>
    <row r="258" spans="1:16" ht="24.75">
      <c r="A258" s="9" t="s">
        <v>867</v>
      </c>
      <c r="B258" s="3" t="s">
        <v>868</v>
      </c>
      <c r="C258" s="5" t="n">
        <v>1.0</v>
      </c>
      <c r="D258" s="6" t="n">
        <v>49.0</v>
      </c>
      <c r="E258" s="6" t="n">
        <v>49.0</v>
      </c>
      <c r="F258" s="10" t="n">
        <v>98.0</v>
      </c>
      <c r="G258" s="6" t="n">
        <v>98.0</v>
      </c>
      <c r="H258" s="5" t="s">
        <v>869</v>
      </c>
      <c r="I258" s="3" t="s">
        <v>69</v>
      </c>
      <c r="J258" s="11" t="s">
        <v>36</v>
      </c>
      <c r="K258" s="17" t="n">
        <v>21.266000000000002</v>
      </c>
      <c r="L258" s="17" t="n">
        <v>21.266000000000002</v>
      </c>
      <c r="M258" s="3" t="s">
        <v>21</v>
      </c>
      <c r="N258" s="3" t="s">
        <v>95</v>
      </c>
      <c r="O258" s="3" t="s">
        <v>96</v>
      </c>
      <c r="P258" s="12" t="s">
        <v>1033</v>
      </c>
    </row>
    <row r="259" spans="1:16" ht="24.75">
      <c r="A259" s="9" t="s">
        <v>870</v>
      </c>
      <c r="B259" s="3" t="s">
        <v>871</v>
      </c>
      <c r="C259" s="5" t="n">
        <v>1.0</v>
      </c>
      <c r="D259" s="6" t="n">
        <v>49.0</v>
      </c>
      <c r="E259" s="6" t="n">
        <v>49.0</v>
      </c>
      <c r="F259" s="10" t="n">
        <v>98.0</v>
      </c>
      <c r="G259" s="6" t="n">
        <v>98.0</v>
      </c>
      <c r="H259" s="5" t="n">
        <v>420332.0</v>
      </c>
      <c r="I259" s="3" t="s">
        <v>153</v>
      </c>
      <c r="J259" s="11" t="s">
        <v>36</v>
      </c>
      <c r="K259" s="17" t="n">
        <v>21.266000000000002</v>
      </c>
      <c r="L259" s="17" t="n">
        <v>21.266000000000002</v>
      </c>
      <c r="M259" s="3" t="s">
        <v>21</v>
      </c>
      <c r="N259" s="3" t="s">
        <v>95</v>
      </c>
      <c r="O259" s="3" t="s">
        <v>96</v>
      </c>
      <c r="P259" s="12" t="s">
        <v>1033</v>
      </c>
    </row>
    <row r="260" spans="1:16" ht="24.75">
      <c r="A260" s="9" t="s">
        <v>872</v>
      </c>
      <c r="B260" s="3" t="s">
        <v>873</v>
      </c>
      <c r="C260" s="5" t="n">
        <v>1.0</v>
      </c>
      <c r="D260" s="6" t="n">
        <v>44.75</v>
      </c>
      <c r="E260" s="6" t="n">
        <v>44.75</v>
      </c>
      <c r="F260" s="10" t="n">
        <v>89.5</v>
      </c>
      <c r="G260" s="6" t="n">
        <v>89.5</v>
      </c>
      <c r="H260" s="5" t="s">
        <v>874</v>
      </c>
      <c r="I260" s="3" t="s">
        <v>827</v>
      </c>
      <c r="J260" s="11" t="s">
        <v>114</v>
      </c>
      <c r="K260" s="17" t="n">
        <v>19.421499999999998</v>
      </c>
      <c r="L260" s="17" t="n">
        <v>19.421499999999998</v>
      </c>
      <c r="M260" s="3" t="s">
        <v>21</v>
      </c>
      <c r="N260" s="3" t="s">
        <v>95</v>
      </c>
      <c r="O260" s="3" t="s">
        <v>96</v>
      </c>
      <c r="P260" s="12" t="s">
        <v>1033</v>
      </c>
    </row>
    <row r="261" spans="1:16" ht="24.75">
      <c r="A261" s="9" t="s">
        <v>875</v>
      </c>
      <c r="B261" s="3" t="s">
        <v>876</v>
      </c>
      <c r="C261" s="5" t="n">
        <v>1.0</v>
      </c>
      <c r="D261" s="6" t="n">
        <v>42.0</v>
      </c>
      <c r="E261" s="6" t="n">
        <v>42.0</v>
      </c>
      <c r="F261" s="10" t="n">
        <v>89.5</v>
      </c>
      <c r="G261" s="6" t="n">
        <v>89.5</v>
      </c>
      <c r="H261" s="5" t="s">
        <v>877</v>
      </c>
      <c r="I261" s="3" t="s">
        <v>147</v>
      </c>
      <c r="J261" s="11" t="s">
        <v>608</v>
      </c>
      <c r="K261" s="17" t="n">
        <v>18.228</v>
      </c>
      <c r="L261" s="17" t="n">
        <v>18.228</v>
      </c>
      <c r="M261" s="3" t="s">
        <v>21</v>
      </c>
      <c r="N261" s="3" t="s">
        <v>705</v>
      </c>
      <c r="O261" s="3" t="s">
        <v>706</v>
      </c>
      <c r="P261" s="12" t="s">
        <v>1033</v>
      </c>
    </row>
    <row r="262" spans="1:16" ht="24.75">
      <c r="A262" s="9" t="s">
        <v>878</v>
      </c>
      <c r="B262" s="3" t="s">
        <v>879</v>
      </c>
      <c r="C262" s="5" t="n">
        <v>2.0</v>
      </c>
      <c r="D262" s="6" t="n">
        <v>39.75</v>
      </c>
      <c r="E262" s="6" t="n">
        <v>79.5</v>
      </c>
      <c r="F262" s="10" t="n">
        <v>79.5</v>
      </c>
      <c r="G262" s="6" t="n">
        <v>159.0</v>
      </c>
      <c r="H262" s="5" t="n">
        <v>7833844.0</v>
      </c>
      <c r="I262" s="3" t="s">
        <v>41</v>
      </c>
      <c r="J262" s="11" t="s">
        <v>356</v>
      </c>
      <c r="K262" s="17" t="n">
        <v>17.2515</v>
      </c>
      <c r="L262" s="17" t="n">
        <v>34.503</v>
      </c>
      <c r="M262" s="3" t="s">
        <v>21</v>
      </c>
      <c r="N262" s="3" t="s">
        <v>880</v>
      </c>
      <c r="O262" s="3" t="s">
        <v>232</v>
      </c>
      <c r="P262" s="12" t="s">
        <v>1033</v>
      </c>
    </row>
    <row r="263" spans="1:16" ht="24.75">
      <c r="A263" s="9" t="s">
        <v>881</v>
      </c>
      <c r="B263" s="3" t="s">
        <v>879</v>
      </c>
      <c r="C263" s="5" t="n">
        <v>1.0</v>
      </c>
      <c r="D263" s="6" t="n">
        <v>39.75</v>
      </c>
      <c r="E263" s="6" t="n">
        <v>39.75</v>
      </c>
      <c r="F263" s="10" t="n">
        <v>79.5</v>
      </c>
      <c r="G263" s="6" t="n">
        <v>79.5</v>
      </c>
      <c r="H263" s="5" t="n">
        <v>7833844.0</v>
      </c>
      <c r="I263" s="3" t="s">
        <v>41</v>
      </c>
      <c r="J263" s="11" t="s">
        <v>601</v>
      </c>
      <c r="K263" s="17" t="n">
        <v>17.2515</v>
      </c>
      <c r="L263" s="17" t="n">
        <v>17.2515</v>
      </c>
      <c r="M263" s="3" t="s">
        <v>21</v>
      </c>
      <c r="N263" s="3" t="s">
        <v>880</v>
      </c>
      <c r="O263" s="3" t="s">
        <v>232</v>
      </c>
      <c r="P263" s="12" t="s">
        <v>1033</v>
      </c>
    </row>
    <row r="264" spans="1:16" ht="24.75">
      <c r="A264" s="9" t="s">
        <v>882</v>
      </c>
      <c r="B264" s="3" t="s">
        <v>883</v>
      </c>
      <c r="C264" s="5" t="n">
        <v>1.0</v>
      </c>
      <c r="D264" s="6" t="n">
        <v>39.75</v>
      </c>
      <c r="E264" s="6" t="n">
        <v>39.75</v>
      </c>
      <c r="F264" s="10" t="n">
        <v>79.5</v>
      </c>
      <c r="G264" s="6" t="n">
        <v>79.5</v>
      </c>
      <c r="H264" s="5" t="n">
        <v>4470432.0</v>
      </c>
      <c r="I264" s="3" t="s">
        <v>206</v>
      </c>
      <c r="J264" s="11" t="s">
        <v>54</v>
      </c>
      <c r="K264" s="17" t="n">
        <v>17.2515</v>
      </c>
      <c r="L264" s="17" t="n">
        <v>17.2515</v>
      </c>
      <c r="M264" s="3" t="s">
        <v>21</v>
      </c>
      <c r="N264" s="3" t="s">
        <v>95</v>
      </c>
      <c r="O264" s="3" t="s">
        <v>96</v>
      </c>
      <c r="P264" s="12" t="s">
        <v>1033</v>
      </c>
    </row>
    <row r="265" spans="1:16" ht="24.75">
      <c r="A265" s="9" t="s">
        <v>884</v>
      </c>
      <c r="B265" s="3" t="s">
        <v>879</v>
      </c>
      <c r="C265" s="5" t="n">
        <v>1.0</v>
      </c>
      <c r="D265" s="6" t="n">
        <v>39.75</v>
      </c>
      <c r="E265" s="6" t="n">
        <v>39.75</v>
      </c>
      <c r="F265" s="10" t="n">
        <v>79.5</v>
      </c>
      <c r="G265" s="6" t="n">
        <v>79.5</v>
      </c>
      <c r="H265" s="5" t="n">
        <v>7833844.0</v>
      </c>
      <c r="I265" s="3" t="s">
        <v>41</v>
      </c>
      <c r="J265" s="11" t="s">
        <v>509</v>
      </c>
      <c r="K265" s="17" t="n">
        <v>17.2515</v>
      </c>
      <c r="L265" s="17" t="n">
        <v>17.2515</v>
      </c>
      <c r="M265" s="3" t="s">
        <v>21</v>
      </c>
      <c r="N265" s="3" t="s">
        <v>880</v>
      </c>
      <c r="O265" s="3" t="s">
        <v>232</v>
      </c>
      <c r="P265" s="12" t="s">
        <v>1033</v>
      </c>
    </row>
    <row r="266" spans="1:16" ht="24.75">
      <c r="A266" s="9" t="s">
        <v>885</v>
      </c>
      <c r="B266" s="3" t="s">
        <v>886</v>
      </c>
      <c r="C266" s="5" t="n">
        <v>1.0</v>
      </c>
      <c r="D266" s="6" t="n">
        <v>38.5</v>
      </c>
      <c r="E266" s="6" t="n">
        <v>38.5</v>
      </c>
      <c r="F266" s="10" t="n">
        <v>88.0</v>
      </c>
      <c r="G266" s="6" t="n">
        <v>88.0</v>
      </c>
      <c r="H266" s="5" t="s">
        <v>887</v>
      </c>
      <c r="I266" s="3" t="s">
        <v>425</v>
      </c>
      <c r="J266" s="11" t="s">
        <v>144</v>
      </c>
      <c r="K266" s="17" t="n">
        <v>16.709</v>
      </c>
      <c r="L266" s="17" t="n">
        <v>16.709</v>
      </c>
      <c r="M266" s="3" t="s">
        <v>21</v>
      </c>
      <c r="N266" s="3" t="s">
        <v>859</v>
      </c>
      <c r="O266" s="3" t="s">
        <v>860</v>
      </c>
      <c r="P266" s="12" t="s">
        <v>1033</v>
      </c>
    </row>
    <row r="267" spans="1:16" ht="24.75">
      <c r="A267" s="9" t="s">
        <v>888</v>
      </c>
      <c r="B267" s="3" t="s">
        <v>889</v>
      </c>
      <c r="C267" s="5" t="n">
        <v>2.0</v>
      </c>
      <c r="D267" s="6" t="n">
        <v>37.59</v>
      </c>
      <c r="E267" s="6" t="n">
        <v>75.18</v>
      </c>
      <c r="F267" s="10" t="n">
        <v>79.98</v>
      </c>
      <c r="G267" s="6" t="n">
        <v>159.96</v>
      </c>
      <c r="H267" s="5" t="s">
        <v>890</v>
      </c>
      <c r="I267" s="3" t="s">
        <v>69</v>
      </c>
      <c r="J267" s="11" t="s">
        <v>48</v>
      </c>
      <c r="K267" s="17" t="n">
        <v>16.31406</v>
      </c>
      <c r="L267" s="17" t="n">
        <v>32.62812</v>
      </c>
      <c r="M267" s="3" t="s">
        <v>21</v>
      </c>
      <c r="N267" s="3" t="s">
        <v>191</v>
      </c>
      <c r="O267" s="3" t="s">
        <v>192</v>
      </c>
      <c r="P267" s="12" t="s">
        <v>1033</v>
      </c>
    </row>
    <row r="268" spans="1:16" ht="24.75">
      <c r="A268" s="9" t="s">
        <v>891</v>
      </c>
      <c r="B268" s="3" t="s">
        <v>892</v>
      </c>
      <c r="C268" s="5" t="n">
        <v>1.0</v>
      </c>
      <c r="D268" s="6" t="n">
        <v>34.0</v>
      </c>
      <c r="E268" s="6" t="n">
        <v>34.0</v>
      </c>
      <c r="F268" s="10" t="n">
        <v>89.5</v>
      </c>
      <c r="G268" s="6" t="n">
        <v>89.5</v>
      </c>
      <c r="H268" s="5" t="s">
        <v>893</v>
      </c>
      <c r="I268" s="3" t="s">
        <v>206</v>
      </c>
      <c r="J268" s="11" t="s">
        <v>51</v>
      </c>
      <c r="K268" s="17" t="n">
        <v>14.756</v>
      </c>
      <c r="L268" s="17" t="n">
        <v>14.756</v>
      </c>
      <c r="M268" s="3" t="s">
        <v>21</v>
      </c>
      <c r="N268" s="3" t="s">
        <v>37</v>
      </c>
      <c r="O268" s="3" t="s">
        <v>38</v>
      </c>
      <c r="P268" s="12" t="s">
        <v>1033</v>
      </c>
    </row>
    <row r="269" spans="1:16" ht="24.75">
      <c r="A269" s="9" t="s">
        <v>894</v>
      </c>
      <c r="B269" s="3" t="s">
        <v>895</v>
      </c>
      <c r="C269" s="5" t="n">
        <v>1.0</v>
      </c>
      <c r="D269" s="6" t="n">
        <v>34.0</v>
      </c>
      <c r="E269" s="6" t="n">
        <v>34.0</v>
      </c>
      <c r="F269" s="10" t="n">
        <v>77.0</v>
      </c>
      <c r="G269" s="6" t="n">
        <v>77.0</v>
      </c>
      <c r="H269" s="5" t="s">
        <v>896</v>
      </c>
      <c r="I269" s="3" t="s">
        <v>665</v>
      </c>
      <c r="J269" s="11" t="s">
        <v>897</v>
      </c>
      <c r="K269" s="17" t="n">
        <v>14.756</v>
      </c>
      <c r="L269" s="17" t="n">
        <v>14.756</v>
      </c>
      <c r="M269" s="3" t="s">
        <v>20</v>
      </c>
      <c r="N269" s="3" t="s">
        <v>95</v>
      </c>
      <c r="O269" s="3" t="s">
        <v>109</v>
      </c>
      <c r="P269" s="12" t="s">
        <v>1033</v>
      </c>
    </row>
    <row r="270" spans="1:16">
      <c r="A270" s="9" t="s">
        <v>898</v>
      </c>
      <c r="B270" s="3" t="s">
        <v>899</v>
      </c>
      <c r="C270" s="5" t="n">
        <v>2.0</v>
      </c>
      <c r="D270" s="6" t="n">
        <v>30.0</v>
      </c>
      <c r="E270" s="6" t="n">
        <v>60.0</v>
      </c>
      <c r="F270" s="10" t="n">
        <v>79.5</v>
      </c>
      <c r="G270" s="6" t="n">
        <v>159.0</v>
      </c>
      <c r="H270" s="5" t="s">
        <v>900</v>
      </c>
      <c r="I270" s="3" t="s">
        <v>265</v>
      </c>
      <c r="J270" s="11" t="s">
        <v>356</v>
      </c>
      <c r="K270" s="17" t="n">
        <v>13.020000000000001</v>
      </c>
      <c r="L270" s="17" t="n">
        <v>26.040000000000003</v>
      </c>
      <c r="M270" s="3" t="s">
        <v>21</v>
      </c>
      <c r="N270" s="3" t="s">
        <v>248</v>
      </c>
      <c r="O270" s="3" t="s">
        <v>249</v>
      </c>
      <c r="P270" s="12" t="s">
        <v>1033</v>
      </c>
    </row>
    <row r="271" spans="1:16" ht="24.75">
      <c r="A271" s="9" t="s">
        <v>901</v>
      </c>
      <c r="B271" s="3" t="s">
        <v>902</v>
      </c>
      <c r="C271" s="5" t="n">
        <v>1.0</v>
      </c>
      <c r="D271" s="6" t="n">
        <v>30.0</v>
      </c>
      <c r="E271" s="6" t="n">
        <v>30.0</v>
      </c>
      <c r="F271" s="10" t="n">
        <v>79.5</v>
      </c>
      <c r="G271" s="6" t="n">
        <v>79.5</v>
      </c>
      <c r="H271" s="5" t="s">
        <v>903</v>
      </c>
      <c r="I271" s="3" t="s">
        <v>75</v>
      </c>
      <c r="J271" s="11" t="s">
        <v>48</v>
      </c>
      <c r="K271" s="17" t="n">
        <v>13.020000000000001</v>
      </c>
      <c r="L271" s="17" t="n">
        <v>13.020000000000001</v>
      </c>
      <c r="M271" s="3" t="s">
        <v>21</v>
      </c>
      <c r="N271" s="3" t="s">
        <v>37</v>
      </c>
      <c r="O271" s="3" t="s">
        <v>38</v>
      </c>
      <c r="P271" s="12" t="s">
        <v>1033</v>
      </c>
    </row>
    <row r="272" spans="1:16" ht="24.75">
      <c r="A272" s="9" t="s">
        <v>904</v>
      </c>
      <c r="B272" s="3" t="s">
        <v>905</v>
      </c>
      <c r="C272" s="5" t="n">
        <v>1.0</v>
      </c>
      <c r="D272" s="6" t="n">
        <v>29.0</v>
      </c>
      <c r="E272" s="6" t="n">
        <v>29.0</v>
      </c>
      <c r="F272" s="10" t="n">
        <v>79.5</v>
      </c>
      <c r="G272" s="6" t="n">
        <v>79.5</v>
      </c>
      <c r="H272" s="5" t="s">
        <v>906</v>
      </c>
      <c r="I272" s="3" t="s">
        <v>100</v>
      </c>
      <c r="J272" s="11" t="s">
        <v>51</v>
      </c>
      <c r="K272" s="17" t="n">
        <v>12.585999999999999</v>
      </c>
      <c r="L272" s="17" t="n">
        <v>12.585999999999999</v>
      </c>
      <c r="M272" s="3" t="s">
        <v>21</v>
      </c>
      <c r="N272" s="3" t="s">
        <v>37</v>
      </c>
      <c r="O272" s="3" t="s">
        <v>38</v>
      </c>
      <c r="P272" s="12" t="s">
        <v>1033</v>
      </c>
    </row>
    <row r="273" spans="1:16">
      <c r="A273" s="9" t="s">
        <v>907</v>
      </c>
      <c r="B273" s="3" t="s">
        <v>908</v>
      </c>
      <c r="C273" s="5" t="n">
        <v>1.0</v>
      </c>
      <c r="D273" s="6" t="n">
        <v>25.0</v>
      </c>
      <c r="E273" s="6" t="n">
        <v>25.0</v>
      </c>
      <c r="F273" s="10" t="n">
        <v>69.5</v>
      </c>
      <c r="G273" s="6" t="n">
        <v>69.5</v>
      </c>
      <c r="H273" s="5" t="s">
        <v>909</v>
      </c>
      <c r="I273" s="3" t="s">
        <v>41</v>
      </c>
      <c r="J273" s="11" t="s">
        <v>54</v>
      </c>
      <c r="K273" s="17" t="n">
        <v>10.85</v>
      </c>
      <c r="L273" s="17" t="n">
        <v>10.85</v>
      </c>
      <c r="M273" s="3" t="s">
        <v>21</v>
      </c>
      <c r="N273" s="3" t="s">
        <v>37</v>
      </c>
      <c r="O273" s="3" t="s">
        <v>38</v>
      </c>
      <c r="P273" s="12" t="s">
        <v>1033</v>
      </c>
    </row>
    <row r="274" spans="1:16" ht="24.75">
      <c r="A274" s="9" t="s">
        <v>910</v>
      </c>
      <c r="B274" s="3" t="s">
        <v>911</v>
      </c>
      <c r="C274" s="5" t="n">
        <v>1.0</v>
      </c>
      <c r="D274" s="6" t="n">
        <v>25.0</v>
      </c>
      <c r="E274" s="6" t="n">
        <v>25.0</v>
      </c>
      <c r="F274" s="10" t="n">
        <v>69.5</v>
      </c>
      <c r="G274" s="6" t="n">
        <v>69.5</v>
      </c>
      <c r="H274" s="5" t="s">
        <v>912</v>
      </c>
      <c r="I274" s="3" t="s">
        <v>35</v>
      </c>
      <c r="J274" s="11" t="s">
        <v>371</v>
      </c>
      <c r="K274" s="17" t="n">
        <v>10.85</v>
      </c>
      <c r="L274" s="17" t="n">
        <v>10.85</v>
      </c>
      <c r="M274" s="3" t="s">
        <v>21</v>
      </c>
      <c r="N274" s="3" t="s">
        <v>248</v>
      </c>
      <c r="O274" s="3" t="s">
        <v>249</v>
      </c>
      <c r="P274" s="12" t="s">
        <v>1033</v>
      </c>
    </row>
    <row r="275" spans="1:16" ht="24.75">
      <c r="A275" s="9" t="s">
        <v>913</v>
      </c>
      <c r="B275" s="3" t="s">
        <v>914</v>
      </c>
      <c r="C275" s="5" t="n">
        <v>1.0</v>
      </c>
      <c r="D275" s="6" t="n">
        <v>24.99</v>
      </c>
      <c r="E275" s="6" t="n">
        <v>24.99</v>
      </c>
      <c r="F275" s="10" t="n">
        <v>49.98</v>
      </c>
      <c r="G275" s="6" t="n">
        <v>49.98</v>
      </c>
      <c r="H275" s="5" t="n">
        <v>7844968.0</v>
      </c>
      <c r="I275" s="3" t="s">
        <v>147</v>
      </c>
      <c r="J275" s="11" t="s">
        <v>42</v>
      </c>
      <c r="K275" s="17" t="n">
        <v>10.84566</v>
      </c>
      <c r="L275" s="17" t="n">
        <v>10.84566</v>
      </c>
      <c r="M275" s="3" t="s">
        <v>21</v>
      </c>
      <c r="N275" s="3" t="s">
        <v>880</v>
      </c>
      <c r="O275" s="3" t="s">
        <v>232</v>
      </c>
      <c r="P275" s="12" t="s">
        <v>1033</v>
      </c>
    </row>
    <row r="276" spans="1:16" ht="24.75">
      <c r="A276" s="9" t="s">
        <v>915</v>
      </c>
      <c r="B276" s="3" t="s">
        <v>916</v>
      </c>
      <c r="C276" s="5" t="n">
        <v>1.0</v>
      </c>
      <c r="D276" s="6" t="n">
        <v>23.7</v>
      </c>
      <c r="E276" s="6" t="n">
        <v>23.7</v>
      </c>
      <c r="F276" s="10" t="n">
        <v>79.0</v>
      </c>
      <c r="G276" s="6" t="n">
        <v>79.0</v>
      </c>
      <c r="H276" s="5" t="s">
        <v>917</v>
      </c>
      <c r="I276" s="3" t="s">
        <v>47</v>
      </c>
      <c r="J276" s="11" t="s">
        <v>42</v>
      </c>
      <c r="K276" s="17" t="n">
        <v>10.2858</v>
      </c>
      <c r="L276" s="17" t="n">
        <v>10.2858</v>
      </c>
      <c r="M276" s="3" t="s">
        <v>20</v>
      </c>
      <c r="N276" s="3" t="s">
        <v>443</v>
      </c>
      <c r="O276" s="3" t="s">
        <v>918</v>
      </c>
      <c r="P276" s="12" t="s">
        <v>1033</v>
      </c>
    </row>
    <row r="277" spans="1:16">
      <c r="A277" s="9" t="s">
        <v>919</v>
      </c>
      <c r="B277" s="3" t="s">
        <v>920</v>
      </c>
      <c r="C277" s="5" t="n">
        <v>1.0</v>
      </c>
      <c r="D277" s="6" t="n">
        <v>23.7</v>
      </c>
      <c r="E277" s="6" t="n">
        <v>23.7</v>
      </c>
      <c r="F277" s="10" t="n">
        <v>79.0</v>
      </c>
      <c r="G277" s="6" t="n">
        <v>79.0</v>
      </c>
      <c r="H277" s="5" t="s">
        <v>921</v>
      </c>
      <c r="I277" s="3" t="s">
        <v>41</v>
      </c>
      <c r="J277" s="11" t="s">
        <v>36</v>
      </c>
      <c r="K277" s="17" t="n">
        <v>10.2858</v>
      </c>
      <c r="L277" s="17" t="n">
        <v>10.2858</v>
      </c>
      <c r="M277" s="3" t="s">
        <v>20</v>
      </c>
      <c r="N277" s="3" t="s">
        <v>443</v>
      </c>
      <c r="O277" s="3" t="s">
        <v>918</v>
      </c>
      <c r="P277" s="12" t="s">
        <v>1033</v>
      </c>
    </row>
    <row r="278" spans="1:16" ht="24.75">
      <c r="A278" s="9" t="s">
        <v>922</v>
      </c>
      <c r="B278" s="3" t="s">
        <v>923</v>
      </c>
      <c r="C278" s="5" t="n">
        <v>1.0</v>
      </c>
      <c r="D278" s="6" t="n">
        <v>22.5</v>
      </c>
      <c r="E278" s="6" t="n">
        <v>22.5</v>
      </c>
      <c r="F278" s="10" t="n">
        <v>54.5</v>
      </c>
      <c r="G278" s="6" t="n">
        <v>54.5</v>
      </c>
      <c r="H278" s="5" t="s">
        <v>924</v>
      </c>
      <c r="I278" s="3" t="s">
        <v>35</v>
      </c>
      <c r="J278" s="11" t="s">
        <v>383</v>
      </c>
      <c r="K278" s="17" t="n">
        <v>9.765</v>
      </c>
      <c r="L278" s="17" t="n">
        <v>9.765</v>
      </c>
      <c r="M278" s="3" t="s">
        <v>21</v>
      </c>
      <c r="N278" s="3" t="s">
        <v>248</v>
      </c>
      <c r="O278" s="3" t="s">
        <v>249</v>
      </c>
      <c r="P278" s="12" t="s">
        <v>1033</v>
      </c>
    </row>
    <row r="279" spans="1:16" ht="24.75">
      <c r="A279" s="9" t="s">
        <v>925</v>
      </c>
      <c r="B279" s="3" t="s">
        <v>926</v>
      </c>
      <c r="C279" s="5" t="n">
        <v>1.0</v>
      </c>
      <c r="D279" s="6" t="n">
        <v>21.0</v>
      </c>
      <c r="E279" s="6" t="n">
        <v>21.0</v>
      </c>
      <c r="F279" s="10" t="n">
        <v>49.5</v>
      </c>
      <c r="G279" s="6" t="n">
        <v>49.5</v>
      </c>
      <c r="H279" s="5" t="s">
        <v>927</v>
      </c>
      <c r="I279" s="3" t="s">
        <v>75</v>
      </c>
      <c r="J279" s="11" t="s">
        <v>36</v>
      </c>
      <c r="K279" s="17" t="n">
        <v>9.114</v>
      </c>
      <c r="L279" s="17" t="n">
        <v>9.114</v>
      </c>
      <c r="M279" s="3" t="s">
        <v>20</v>
      </c>
      <c r="N279" s="3" t="s">
        <v>186</v>
      </c>
      <c r="O279" s="3" t="s">
        <v>222</v>
      </c>
      <c r="P279" s="12" t="s">
        <v>1033</v>
      </c>
    </row>
    <row r="280" spans="1:16" ht="24.75">
      <c r="A280" s="9" t="s">
        <v>928</v>
      </c>
      <c r="B280" s="3" t="s">
        <v>926</v>
      </c>
      <c r="C280" s="5" t="n">
        <v>1.0</v>
      </c>
      <c r="D280" s="6" t="n">
        <v>21.0</v>
      </c>
      <c r="E280" s="6" t="n">
        <v>21.0</v>
      </c>
      <c r="F280" s="10" t="n">
        <v>49.5</v>
      </c>
      <c r="G280" s="6" t="n">
        <v>49.5</v>
      </c>
      <c r="H280" s="5" t="s">
        <v>927</v>
      </c>
      <c r="I280" s="3" t="s">
        <v>75</v>
      </c>
      <c r="J280" s="11" t="s">
        <v>42</v>
      </c>
      <c r="K280" s="17" t="n">
        <v>9.114</v>
      </c>
      <c r="L280" s="17" t="n">
        <v>9.114</v>
      </c>
      <c r="M280" s="3" t="s">
        <v>20</v>
      </c>
      <c r="N280" s="3" t="s">
        <v>186</v>
      </c>
      <c r="O280" s="3" t="s">
        <v>222</v>
      </c>
      <c r="P280" s="12" t="s">
        <v>1033</v>
      </c>
    </row>
    <row r="281" spans="1:16">
      <c r="A281" s="9" t="s">
        <v>929</v>
      </c>
      <c r="B281" s="3" t="s">
        <v>926</v>
      </c>
      <c r="C281" s="5" t="n">
        <v>3.0</v>
      </c>
      <c r="D281" s="6" t="n">
        <v>21.0</v>
      </c>
      <c r="E281" s="6" t="n">
        <v>63.0</v>
      </c>
      <c r="F281" s="10" t="n">
        <v>49.5</v>
      </c>
      <c r="G281" s="6" t="n">
        <v>148.5</v>
      </c>
      <c r="H281" s="5" t="s">
        <v>927</v>
      </c>
      <c r="I281" s="3" t="s">
        <v>123</v>
      </c>
      <c r="J281" s="11" t="s">
        <v>42</v>
      </c>
      <c r="K281" s="17" t="n">
        <v>9.114</v>
      </c>
      <c r="L281" s="17" t="n">
        <v>27.342000000000002</v>
      </c>
      <c r="M281" s="3" t="s">
        <v>20</v>
      </c>
      <c r="N281" s="3" t="s">
        <v>186</v>
      </c>
      <c r="O281" s="3" t="s">
        <v>222</v>
      </c>
      <c r="P281" s="12" t="s">
        <v>1033</v>
      </c>
    </row>
    <row r="282" spans="1:16" ht="24.75">
      <c r="A282" s="9" t="s">
        <v>930</v>
      </c>
      <c r="B282" s="3" t="s">
        <v>926</v>
      </c>
      <c r="C282" s="5" t="n">
        <v>1.0</v>
      </c>
      <c r="D282" s="6" t="n">
        <v>21.0</v>
      </c>
      <c r="E282" s="6" t="n">
        <v>21.0</v>
      </c>
      <c r="F282" s="10" t="n">
        <v>49.5</v>
      </c>
      <c r="G282" s="6" t="n">
        <v>49.5</v>
      </c>
      <c r="H282" s="5" t="s">
        <v>927</v>
      </c>
      <c r="I282" s="3" t="s">
        <v>75</v>
      </c>
      <c r="J282" s="11" t="s">
        <v>51</v>
      </c>
      <c r="K282" s="17" t="n">
        <v>9.114</v>
      </c>
      <c r="L282" s="17" t="n">
        <v>9.114</v>
      </c>
      <c r="M282" s="3" t="s">
        <v>20</v>
      </c>
      <c r="N282" s="3" t="s">
        <v>186</v>
      </c>
      <c r="O282" s="3" t="s">
        <v>222</v>
      </c>
      <c r="P282" s="12" t="s">
        <v>1033</v>
      </c>
    </row>
    <row r="283" spans="1:16" ht="24.75">
      <c r="A283" s="9" t="s">
        <v>931</v>
      </c>
      <c r="B283" s="3" t="s">
        <v>926</v>
      </c>
      <c r="C283" s="5" t="n">
        <v>3.0</v>
      </c>
      <c r="D283" s="6" t="n">
        <v>21.0</v>
      </c>
      <c r="E283" s="6" t="n">
        <v>63.0</v>
      </c>
      <c r="F283" s="10" t="n">
        <v>49.5</v>
      </c>
      <c r="G283" s="6" t="n">
        <v>148.5</v>
      </c>
      <c r="H283" s="5" t="s">
        <v>927</v>
      </c>
      <c r="I283" s="3" t="s">
        <v>123</v>
      </c>
      <c r="J283" s="11" t="s">
        <v>36</v>
      </c>
      <c r="K283" s="17" t="n">
        <v>9.114</v>
      </c>
      <c r="L283" s="17" t="n">
        <v>27.342000000000002</v>
      </c>
      <c r="M283" s="3" t="s">
        <v>20</v>
      </c>
      <c r="N283" s="3" t="s">
        <v>186</v>
      </c>
      <c r="O283" s="3" t="s">
        <v>222</v>
      </c>
      <c r="P283" s="12" t="s">
        <v>1033</v>
      </c>
    </row>
    <row r="284" spans="1:16" ht="24.75">
      <c r="A284" s="9" t="s">
        <v>932</v>
      </c>
      <c r="B284" s="3" t="s">
        <v>933</v>
      </c>
      <c r="C284" s="5" t="n">
        <v>1.0</v>
      </c>
      <c r="D284" s="6" t="n">
        <v>20.89</v>
      </c>
      <c r="E284" s="6" t="n">
        <v>20.89</v>
      </c>
      <c r="F284" s="10" t="n">
        <v>59.5</v>
      </c>
      <c r="G284" s="6" t="n">
        <v>59.5</v>
      </c>
      <c r="H284" s="5" t="s">
        <v>934</v>
      </c>
      <c r="I284" s="3" t="s">
        <v>265</v>
      </c>
      <c r="J284" s="11" t="s">
        <v>48</v>
      </c>
      <c r="K284" s="17" t="n">
        <v>9.06626</v>
      </c>
      <c r="L284" s="17" t="n">
        <v>9.06626</v>
      </c>
      <c r="M284" s="3" t="s">
        <v>21</v>
      </c>
      <c r="N284" s="3" t="s">
        <v>191</v>
      </c>
      <c r="O284" s="3" t="s">
        <v>192</v>
      </c>
      <c r="P284" s="12" t="s">
        <v>1033</v>
      </c>
    </row>
    <row r="285" spans="1:16" ht="24.75">
      <c r="A285" s="9" t="s">
        <v>935</v>
      </c>
      <c r="B285" s="3" t="s">
        <v>936</v>
      </c>
      <c r="C285" s="5" t="n">
        <v>1.0</v>
      </c>
      <c r="D285" s="6" t="n">
        <v>20.83</v>
      </c>
      <c r="E285" s="6" t="n">
        <v>20.83</v>
      </c>
      <c r="F285" s="10" t="n">
        <v>59.5</v>
      </c>
      <c r="G285" s="6" t="n">
        <v>59.5</v>
      </c>
      <c r="H285" s="5" t="s">
        <v>937</v>
      </c>
      <c r="I285" s="3" t="s">
        <v>173</v>
      </c>
      <c r="J285" s="11" t="s">
        <v>295</v>
      </c>
      <c r="K285" s="17" t="n">
        <v>9.04022</v>
      </c>
      <c r="L285" s="17" t="n">
        <v>9.04022</v>
      </c>
      <c r="M285" s="3" t="s">
        <v>21</v>
      </c>
      <c r="N285" s="3" t="s">
        <v>191</v>
      </c>
      <c r="O285" s="3" t="s">
        <v>192</v>
      </c>
      <c r="P285" s="12" t="s">
        <v>1033</v>
      </c>
    </row>
    <row r="286" spans="1:16" ht="24.75">
      <c r="A286" s="9" t="s">
        <v>938</v>
      </c>
      <c r="B286" s="3" t="s">
        <v>939</v>
      </c>
      <c r="C286" s="5" t="n">
        <v>1.0</v>
      </c>
      <c r="D286" s="6" t="n">
        <v>20.65</v>
      </c>
      <c r="E286" s="6" t="n">
        <v>20.65</v>
      </c>
      <c r="F286" s="10" t="n">
        <v>59.0</v>
      </c>
      <c r="G286" s="6" t="n">
        <v>59.0</v>
      </c>
      <c r="H286" s="5" t="s">
        <v>940</v>
      </c>
      <c r="I286" s="3" t="s">
        <v>75</v>
      </c>
      <c r="J286" s="11" t="s">
        <v>42</v>
      </c>
      <c r="K286" s="17" t="n">
        <v>8.9621</v>
      </c>
      <c r="L286" s="17" t="n">
        <v>8.9621</v>
      </c>
      <c r="M286" s="3" t="s">
        <v>21</v>
      </c>
      <c r="N286" s="3" t="s">
        <v>191</v>
      </c>
      <c r="O286" s="3" t="s">
        <v>192</v>
      </c>
      <c r="P286" s="12" t="s">
        <v>1033</v>
      </c>
    </row>
    <row r="287" spans="1:16">
      <c r="A287" s="9" t="s">
        <v>941</v>
      </c>
      <c r="B287" s="3" t="s">
        <v>942</v>
      </c>
      <c r="C287" s="5" t="n">
        <v>1.0</v>
      </c>
      <c r="D287" s="6" t="n">
        <v>20.0</v>
      </c>
      <c r="E287" s="6" t="n">
        <v>20.0</v>
      </c>
      <c r="F287" s="10" t="n">
        <v>39.98</v>
      </c>
      <c r="G287" s="6" t="n">
        <v>39.98</v>
      </c>
      <c r="H287" s="5" t="s">
        <v>943</v>
      </c>
      <c r="I287" s="3" t="s">
        <v>130</v>
      </c>
      <c r="J287" s="11" t="s">
        <v>468</v>
      </c>
      <c r="K287" s="17" t="n">
        <v>8.68</v>
      </c>
      <c r="L287" s="17" t="n">
        <v>8.68</v>
      </c>
      <c r="M287" s="3" t="s">
        <v>21</v>
      </c>
      <c r="N287" s="3" t="s">
        <v>538</v>
      </c>
      <c r="O287" s="3" t="s">
        <v>539</v>
      </c>
      <c r="P287" s="12" t="s">
        <v>1033</v>
      </c>
    </row>
    <row r="288" spans="1:16">
      <c r="A288" s="9" t="s">
        <v>944</v>
      </c>
      <c r="B288" s="3" t="s">
        <v>945</v>
      </c>
      <c r="C288" s="5" t="n">
        <v>1.0</v>
      </c>
      <c r="D288" s="6" t="n">
        <v>19.75</v>
      </c>
      <c r="E288" s="6" t="n">
        <v>19.75</v>
      </c>
      <c r="F288" s="10" t="n">
        <v>39.5</v>
      </c>
      <c r="G288" s="6" t="n">
        <v>39.5</v>
      </c>
      <c r="H288" s="5" t="n">
        <v>477404.0</v>
      </c>
      <c r="I288" s="3" t="s">
        <v>164</v>
      </c>
      <c r="J288" s="11" t="s">
        <v>54</v>
      </c>
      <c r="K288" s="17" t="n">
        <v>8.5715</v>
      </c>
      <c r="L288" s="17" t="n">
        <v>8.5715</v>
      </c>
      <c r="M288" s="3" t="s">
        <v>21</v>
      </c>
      <c r="N288" s="3" t="s">
        <v>95</v>
      </c>
      <c r="O288" s="3" t="s">
        <v>96</v>
      </c>
      <c r="P288" s="12" t="s">
        <v>1033</v>
      </c>
    </row>
    <row r="289" spans="1:16" ht="24.75">
      <c r="A289" s="9" t="s">
        <v>946</v>
      </c>
      <c r="B289" s="3" t="s">
        <v>947</v>
      </c>
      <c r="C289" s="5" t="n">
        <v>2.0</v>
      </c>
      <c r="D289" s="6" t="n">
        <v>19.5</v>
      </c>
      <c r="E289" s="6" t="n">
        <v>39.0</v>
      </c>
      <c r="F289" s="10" t="n">
        <v>48.0</v>
      </c>
      <c r="G289" s="6" t="n">
        <v>96.0</v>
      </c>
      <c r="H289" s="5" t="s">
        <v>948</v>
      </c>
      <c r="I289" s="3" t="s">
        <v>75</v>
      </c>
      <c r="J289" s="11" t="s">
        <v>42</v>
      </c>
      <c r="K289" s="17" t="n">
        <v>8.463000000000001</v>
      </c>
      <c r="L289" s="17" t="n">
        <v>16.926000000000002</v>
      </c>
      <c r="M289" s="3" t="s">
        <v>20</v>
      </c>
      <c r="N289" s="3" t="s">
        <v>443</v>
      </c>
      <c r="O289" s="3" t="s">
        <v>444</v>
      </c>
      <c r="P289" s="12" t="s">
        <v>1033</v>
      </c>
    </row>
    <row r="290" spans="1:16" ht="24.75">
      <c r="A290" s="9" t="s">
        <v>949</v>
      </c>
      <c r="B290" s="3" t="s">
        <v>947</v>
      </c>
      <c r="C290" s="5" t="n">
        <v>1.0</v>
      </c>
      <c r="D290" s="6" t="n">
        <v>19.5</v>
      </c>
      <c r="E290" s="6" t="n">
        <v>19.5</v>
      </c>
      <c r="F290" s="10" t="n">
        <v>48.0</v>
      </c>
      <c r="G290" s="6" t="n">
        <v>48.0</v>
      </c>
      <c r="H290" s="5" t="s">
        <v>948</v>
      </c>
      <c r="I290" s="3" t="s">
        <v>75</v>
      </c>
      <c r="J290" s="11" t="s">
        <v>36</v>
      </c>
      <c r="K290" s="17" t="n">
        <v>8.463000000000001</v>
      </c>
      <c r="L290" s="17" t="n">
        <v>8.463000000000001</v>
      </c>
      <c r="M290" s="3" t="s">
        <v>20</v>
      </c>
      <c r="N290" s="3" t="s">
        <v>443</v>
      </c>
      <c r="O290" s="3" t="s">
        <v>444</v>
      </c>
      <c r="P290" s="12" t="s">
        <v>1033</v>
      </c>
    </row>
    <row r="291" spans="1:16" ht="24.75">
      <c r="A291" s="9" t="s">
        <v>950</v>
      </c>
      <c r="B291" s="3" t="s">
        <v>947</v>
      </c>
      <c r="C291" s="5" t="n">
        <v>1.0</v>
      </c>
      <c r="D291" s="6" t="n">
        <v>19.5</v>
      </c>
      <c r="E291" s="6" t="n">
        <v>19.5</v>
      </c>
      <c r="F291" s="10" t="n">
        <v>48.0</v>
      </c>
      <c r="G291" s="6" t="n">
        <v>48.0</v>
      </c>
      <c r="H291" s="5" t="s">
        <v>948</v>
      </c>
      <c r="I291" s="3" t="s">
        <v>75</v>
      </c>
      <c r="J291" s="11" t="s">
        <v>51</v>
      </c>
      <c r="K291" s="17" t="n">
        <v>8.463000000000001</v>
      </c>
      <c r="L291" s="17" t="n">
        <v>8.463000000000001</v>
      </c>
      <c r="M291" s="3" t="s">
        <v>20</v>
      </c>
      <c r="N291" s="3" t="s">
        <v>443</v>
      </c>
      <c r="O291" s="3" t="s">
        <v>444</v>
      </c>
      <c r="P291" s="12" t="s">
        <v>1033</v>
      </c>
    </row>
    <row r="292" spans="1:16" ht="24.75">
      <c r="A292" s="9" t="s">
        <v>951</v>
      </c>
      <c r="B292" s="3" t="s">
        <v>952</v>
      </c>
      <c r="C292" s="5" t="n">
        <v>1.0</v>
      </c>
      <c r="D292" s="6" t="n">
        <v>18.4</v>
      </c>
      <c r="E292" s="6" t="n">
        <v>18.4</v>
      </c>
      <c r="F292" s="10" t="n">
        <v>39.99</v>
      </c>
      <c r="G292" s="6" t="n">
        <v>39.99</v>
      </c>
      <c r="H292" s="5" t="s">
        <v>953</v>
      </c>
      <c r="I292" s="3" t="s">
        <v>140</v>
      </c>
      <c r="J292" s="11" t="s">
        <v>157</v>
      </c>
      <c r="K292" s="17" t="n">
        <v>7.985600000000001</v>
      </c>
      <c r="L292" s="17" t="n">
        <v>7.985600000000001</v>
      </c>
      <c r="M292" s="3" t="s">
        <v>21</v>
      </c>
      <c r="N292" s="3" t="s">
        <v>538</v>
      </c>
      <c r="O292" s="3" t="s">
        <v>539</v>
      </c>
      <c r="P292" s="12" t="s">
        <v>1033</v>
      </c>
    </row>
    <row r="293" spans="1:16" ht="24.75">
      <c r="A293" s="9" t="s">
        <v>954</v>
      </c>
      <c r="B293" s="3" t="s">
        <v>955</v>
      </c>
      <c r="C293" s="5" t="n">
        <v>1.0</v>
      </c>
      <c r="D293" s="6" t="n">
        <v>18.4</v>
      </c>
      <c r="E293" s="6" t="n">
        <v>18.4</v>
      </c>
      <c r="F293" s="10" t="n">
        <v>39.99</v>
      </c>
      <c r="G293" s="6" t="n">
        <v>39.99</v>
      </c>
      <c r="H293" s="5" t="s">
        <v>956</v>
      </c>
      <c r="I293" s="3" t="s">
        <v>140</v>
      </c>
      <c r="J293" s="11" t="s">
        <v>157</v>
      </c>
      <c r="K293" s="17" t="n">
        <v>7.985600000000001</v>
      </c>
      <c r="L293" s="17" t="n">
        <v>7.985600000000001</v>
      </c>
      <c r="M293" s="3" t="s">
        <v>21</v>
      </c>
      <c r="N293" s="3" t="s">
        <v>538</v>
      </c>
      <c r="O293" s="3" t="s">
        <v>957</v>
      </c>
      <c r="P293" s="12" t="s">
        <v>1033</v>
      </c>
    </row>
    <row r="294" spans="1:16" ht="24.75">
      <c r="A294" s="9" t="s">
        <v>958</v>
      </c>
      <c r="B294" s="3" t="s">
        <v>959</v>
      </c>
      <c r="C294" s="5" t="n">
        <v>1.0</v>
      </c>
      <c r="D294" s="6" t="n">
        <v>17.9</v>
      </c>
      <c r="E294" s="6" t="n">
        <v>17.9</v>
      </c>
      <c r="F294" s="10" t="n">
        <v>39.98</v>
      </c>
      <c r="G294" s="6" t="n">
        <v>39.98</v>
      </c>
      <c r="H294" s="5" t="s">
        <v>960</v>
      </c>
      <c r="I294" s="3" t="s">
        <v>47</v>
      </c>
      <c r="J294" s="11" t="s">
        <v>371</v>
      </c>
      <c r="K294" s="17" t="n">
        <v>7.768599999999999</v>
      </c>
      <c r="L294" s="17" t="n">
        <v>7.768599999999999</v>
      </c>
      <c r="M294" s="3" t="s">
        <v>21</v>
      </c>
      <c r="N294" s="3" t="s">
        <v>191</v>
      </c>
      <c r="O294" s="3" t="s">
        <v>192</v>
      </c>
      <c r="P294" s="12" t="s">
        <v>1033</v>
      </c>
    </row>
    <row r="295" spans="1:16" ht="24.75">
      <c r="A295" s="9" t="s">
        <v>961</v>
      </c>
      <c r="B295" s="3" t="s">
        <v>962</v>
      </c>
      <c r="C295" s="5" t="n">
        <v>1.0</v>
      </c>
      <c r="D295" s="6" t="n">
        <v>16.63</v>
      </c>
      <c r="E295" s="6" t="n">
        <v>16.63</v>
      </c>
      <c r="F295" s="10" t="n">
        <v>34.99</v>
      </c>
      <c r="G295" s="6" t="n">
        <v>34.99</v>
      </c>
      <c r="H295" s="5" t="s">
        <v>963</v>
      </c>
      <c r="I295" s="3" t="s">
        <v>137</v>
      </c>
      <c r="J295" s="11" t="s">
        <v>144</v>
      </c>
      <c r="K295" s="17" t="n">
        <v>7.21742</v>
      </c>
      <c r="L295" s="17" t="n">
        <v>7.21742</v>
      </c>
      <c r="M295" s="3" t="s">
        <v>21</v>
      </c>
      <c r="N295" s="3" t="s">
        <v>538</v>
      </c>
      <c r="O295" s="3" t="s">
        <v>957</v>
      </c>
      <c r="P295" s="12" t="s">
        <v>1033</v>
      </c>
    </row>
    <row r="296" spans="1:16" ht="24.75">
      <c r="A296" s="9" t="s">
        <v>964</v>
      </c>
      <c r="B296" s="3" t="s">
        <v>965</v>
      </c>
      <c r="C296" s="5" t="n">
        <v>1.0</v>
      </c>
      <c r="D296" s="6" t="n">
        <v>16.0</v>
      </c>
      <c r="E296" s="6" t="n">
        <v>16.0</v>
      </c>
      <c r="F296" s="10" t="n">
        <v>36.0</v>
      </c>
      <c r="G296" s="6" t="n">
        <v>36.0</v>
      </c>
      <c r="H296" s="5" t="s">
        <v>966</v>
      </c>
      <c r="I296" s="3" t="s">
        <v>467</v>
      </c>
      <c r="J296" s="11" t="s">
        <v>54</v>
      </c>
      <c r="K296" s="17" t="n">
        <v>6.944000000000001</v>
      </c>
      <c r="L296" s="17" t="n">
        <v>6.944000000000001</v>
      </c>
      <c r="M296" s="3" t="s">
        <v>20</v>
      </c>
      <c r="N296" s="3" t="s">
        <v>443</v>
      </c>
      <c r="O296" s="3" t="s">
        <v>967</v>
      </c>
      <c r="P296" s="12" t="s">
        <v>1033</v>
      </c>
    </row>
    <row r="297" spans="1:16">
      <c r="A297" s="9" t="s">
        <v>968</v>
      </c>
      <c r="B297" s="3" t="s">
        <v>969</v>
      </c>
      <c r="C297" s="5" t="n">
        <v>1.0</v>
      </c>
      <c r="D297" s="6" t="n">
        <v>16.0</v>
      </c>
      <c r="E297" s="6" t="n">
        <v>16.0</v>
      </c>
      <c r="F297" s="10" t="n">
        <v>40.0</v>
      </c>
      <c r="G297" s="6" t="n">
        <v>40.0</v>
      </c>
      <c r="H297" s="5" t="s">
        <v>970</v>
      </c>
      <c r="I297" s="3" t="s">
        <v>47</v>
      </c>
      <c r="J297" s="11" t="s">
        <v>971</v>
      </c>
      <c r="K297" s="17" t="n">
        <v>6.944000000000001</v>
      </c>
      <c r="L297" s="17" t="n">
        <v>6.944000000000001</v>
      </c>
      <c r="M297" s="3" t="s">
        <v>21</v>
      </c>
      <c r="N297" s="3" t="s">
        <v>972</v>
      </c>
      <c r="O297" s="3" t="s">
        <v>973</v>
      </c>
      <c r="P297" s="12" t="s">
        <v>1033</v>
      </c>
    </row>
    <row r="298" spans="1:16" ht="24.75">
      <c r="A298" s="9" t="s">
        <v>974</v>
      </c>
      <c r="B298" s="3" t="s">
        <v>975</v>
      </c>
      <c r="C298" s="5" t="n">
        <v>2.0</v>
      </c>
      <c r="D298" s="6" t="n">
        <v>16.0</v>
      </c>
      <c r="E298" s="6" t="n">
        <v>32.0</v>
      </c>
      <c r="F298" s="10" t="n">
        <v>29.99</v>
      </c>
      <c r="G298" s="6" t="n">
        <v>59.98</v>
      </c>
      <c r="H298" s="5" t="s">
        <v>564</v>
      </c>
      <c r="I298" s="3" t="s">
        <v>153</v>
      </c>
      <c r="J298" s="11" t="s">
        <v>976</v>
      </c>
      <c r="K298" s="17" t="n">
        <v>6.944000000000001</v>
      </c>
      <c r="L298" s="17" t="n">
        <v>13.888000000000002</v>
      </c>
      <c r="M298" s="3" t="s">
        <v>21</v>
      </c>
      <c r="N298" s="3" t="s">
        <v>348</v>
      </c>
      <c r="O298" s="3" t="s">
        <v>565</v>
      </c>
      <c r="P298" s="12" t="s">
        <v>1033</v>
      </c>
    </row>
    <row r="299" spans="1:16" ht="24.75">
      <c r="A299" s="9" t="s">
        <v>977</v>
      </c>
      <c r="B299" s="3" t="s">
        <v>978</v>
      </c>
      <c r="C299" s="5" t="n">
        <v>1.0</v>
      </c>
      <c r="D299" s="6" t="n">
        <v>15.0</v>
      </c>
      <c r="E299" s="6" t="n">
        <v>15.0</v>
      </c>
      <c r="F299" s="10" t="n">
        <v>29.99</v>
      </c>
      <c r="G299" s="6" t="n">
        <v>29.99</v>
      </c>
      <c r="H299" s="5" t="n">
        <v>4565247.0</v>
      </c>
      <c r="I299" s="3" t="s">
        <v>979</v>
      </c>
      <c r="J299" s="11" t="s">
        <v>91</v>
      </c>
      <c r="K299" s="17" t="n">
        <v>6.510000000000001</v>
      </c>
      <c r="L299" s="17" t="n">
        <v>6.510000000000001</v>
      </c>
      <c r="M299" s="3" t="s">
        <v>21</v>
      </c>
      <c r="N299" s="3" t="s">
        <v>460</v>
      </c>
      <c r="O299" s="3" t="s">
        <v>506</v>
      </c>
      <c r="P299" s="12" t="s">
        <v>1033</v>
      </c>
    </row>
    <row r="300" spans="1:16" ht="24.75">
      <c r="A300" s="9" t="s">
        <v>980</v>
      </c>
      <c r="B300" s="3" t="s">
        <v>981</v>
      </c>
      <c r="C300" s="5" t="n">
        <v>1.0</v>
      </c>
      <c r="D300" s="6" t="n">
        <v>14.0</v>
      </c>
      <c r="E300" s="6" t="n">
        <v>14.0</v>
      </c>
      <c r="F300" s="10" t="n">
        <v>48.0</v>
      </c>
      <c r="G300" s="6" t="n">
        <v>48.0</v>
      </c>
      <c r="H300" s="5" t="n">
        <v>3.1271832E7</v>
      </c>
      <c r="I300" s="3" t="s">
        <v>173</v>
      </c>
      <c r="J300" s="11" t="s">
        <v>1033</v>
      </c>
      <c r="K300" s="17" t="n">
        <v>6.076</v>
      </c>
      <c r="L300" s="17" t="n">
        <v>6.076</v>
      </c>
      <c r="M300" s="3" t="s">
        <v>20</v>
      </c>
      <c r="N300" s="3" t="s">
        <v>443</v>
      </c>
      <c r="O300" s="3" t="s">
        <v>982</v>
      </c>
      <c r="P300" s="12" t="s">
        <v>1033</v>
      </c>
    </row>
    <row r="301" spans="1:16" ht="24.75">
      <c r="A301" s="9" t="s">
        <v>983</v>
      </c>
      <c r="B301" s="3" t="s">
        <v>981</v>
      </c>
      <c r="C301" s="5" t="n">
        <v>1.0</v>
      </c>
      <c r="D301" s="6" t="n">
        <v>14.0</v>
      </c>
      <c r="E301" s="6" t="n">
        <v>14.0</v>
      </c>
      <c r="F301" s="10" t="n">
        <v>48.0</v>
      </c>
      <c r="G301" s="6" t="n">
        <v>48.0</v>
      </c>
      <c r="H301" s="5" t="n">
        <v>3.1271832E7</v>
      </c>
      <c r="I301" s="3" t="s">
        <v>173</v>
      </c>
      <c r="J301" s="11" t="s">
        <v>1033</v>
      </c>
      <c r="K301" s="17" t="n">
        <v>6.076</v>
      </c>
      <c r="L301" s="17" t="n">
        <v>6.076</v>
      </c>
      <c r="M301" s="3" t="s">
        <v>20</v>
      </c>
      <c r="N301" s="3" t="s">
        <v>443</v>
      </c>
      <c r="O301" s="3" t="s">
        <v>982</v>
      </c>
      <c r="P301" s="12" t="s">
        <v>1033</v>
      </c>
    </row>
    <row r="302" spans="1:16" ht="24.75">
      <c r="A302" s="9" t="s">
        <v>984</v>
      </c>
      <c r="B302" s="3" t="s">
        <v>985</v>
      </c>
      <c r="C302" s="5" t="n">
        <v>1.0</v>
      </c>
      <c r="D302" s="6" t="n">
        <v>13.5</v>
      </c>
      <c r="E302" s="6" t="n">
        <v>13.5</v>
      </c>
      <c r="F302" s="10" t="n">
        <v>29.99</v>
      </c>
      <c r="G302" s="6" t="n">
        <v>29.99</v>
      </c>
      <c r="H302" s="5" t="s">
        <v>986</v>
      </c>
      <c r="I302" s="3" t="s">
        <v>137</v>
      </c>
      <c r="J302" s="11" t="s">
        <v>51</v>
      </c>
      <c r="K302" s="17" t="n">
        <v>5.859</v>
      </c>
      <c r="L302" s="17" t="n">
        <v>5.859</v>
      </c>
      <c r="M302" s="3" t="s">
        <v>21</v>
      </c>
      <c r="N302" s="3" t="s">
        <v>420</v>
      </c>
      <c r="O302" s="3" t="s">
        <v>421</v>
      </c>
      <c r="P302" s="12" t="s">
        <v>1033</v>
      </c>
    </row>
    <row r="303" spans="1:16" ht="24.75">
      <c r="A303" s="9" t="s">
        <v>987</v>
      </c>
      <c r="B303" s="3" t="s">
        <v>988</v>
      </c>
      <c r="C303" s="5" t="n">
        <v>1.0</v>
      </c>
      <c r="D303" s="6" t="n">
        <v>13.5</v>
      </c>
      <c r="E303" s="6" t="n">
        <v>13.5</v>
      </c>
      <c r="F303" s="10" t="n">
        <v>38.0</v>
      </c>
      <c r="G303" s="6" t="n">
        <v>38.0</v>
      </c>
      <c r="H303" s="5" t="s">
        <v>989</v>
      </c>
      <c r="I303" s="3" t="s">
        <v>265</v>
      </c>
      <c r="J303" s="11" t="s">
        <v>1033</v>
      </c>
      <c r="K303" s="17" t="n">
        <v>5.859</v>
      </c>
      <c r="L303" s="17" t="n">
        <v>5.859</v>
      </c>
      <c r="M303" s="3" t="s">
        <v>20</v>
      </c>
      <c r="N303" s="3" t="s">
        <v>443</v>
      </c>
      <c r="O303" s="3" t="s">
        <v>640</v>
      </c>
      <c r="P303" s="12" t="s">
        <v>1033</v>
      </c>
    </row>
    <row r="304" spans="1:16" ht="24.75">
      <c r="A304" s="9" t="s">
        <v>990</v>
      </c>
      <c r="B304" s="3" t="s">
        <v>991</v>
      </c>
      <c r="C304" s="5" t="n">
        <v>1.0</v>
      </c>
      <c r="D304" s="6" t="n">
        <v>13.0</v>
      </c>
      <c r="E304" s="6" t="n">
        <v>13.0</v>
      </c>
      <c r="F304" s="10" t="n">
        <v>29.99</v>
      </c>
      <c r="G304" s="6" t="n">
        <v>29.99</v>
      </c>
      <c r="H304" s="5" t="s">
        <v>992</v>
      </c>
      <c r="I304" s="3" t="s">
        <v>210</v>
      </c>
      <c r="J304" s="11" t="s">
        <v>157</v>
      </c>
      <c r="K304" s="17" t="n">
        <v>5.642</v>
      </c>
      <c r="L304" s="17" t="n">
        <v>5.642</v>
      </c>
      <c r="M304" s="3" t="s">
        <v>21</v>
      </c>
      <c r="N304" s="3" t="s">
        <v>460</v>
      </c>
      <c r="O304" s="3" t="s">
        <v>488</v>
      </c>
      <c r="P304" s="12" t="s">
        <v>1033</v>
      </c>
    </row>
    <row r="305" spans="1:16">
      <c r="A305" s="9" t="s">
        <v>993</v>
      </c>
      <c r="B305" s="3" t="s">
        <v>994</v>
      </c>
      <c r="C305" s="5" t="n">
        <v>2.0</v>
      </c>
      <c r="D305" s="6" t="n">
        <v>12.0</v>
      </c>
      <c r="E305" s="6" t="n">
        <v>24.0</v>
      </c>
      <c r="F305" s="10" t="n">
        <v>36.0</v>
      </c>
      <c r="G305" s="6" t="n">
        <v>72.0</v>
      </c>
      <c r="H305" s="5" t="s">
        <v>995</v>
      </c>
      <c r="I305" s="3" t="s">
        <v>35</v>
      </c>
      <c r="J305" s="11" t="s">
        <v>1033</v>
      </c>
      <c r="K305" s="17" t="n">
        <v>5.208</v>
      </c>
      <c r="L305" s="17" t="n">
        <v>10.416</v>
      </c>
      <c r="M305" s="3" t="s">
        <v>20</v>
      </c>
      <c r="N305" s="3" t="s">
        <v>443</v>
      </c>
      <c r="O305" s="3" t="s">
        <v>640</v>
      </c>
      <c r="P305" s="12" t="s">
        <v>1033</v>
      </c>
    </row>
    <row r="306" spans="1:16" ht="24.75">
      <c r="A306" s="9" t="s">
        <v>996</v>
      </c>
      <c r="B306" s="3" t="s">
        <v>997</v>
      </c>
      <c r="C306" s="5" t="n">
        <v>1.0</v>
      </c>
      <c r="D306" s="6" t="n">
        <v>11.0</v>
      </c>
      <c r="E306" s="6" t="n">
        <v>11.0</v>
      </c>
      <c r="F306" s="10" t="n">
        <v>24.99</v>
      </c>
      <c r="G306" s="6" t="n">
        <v>24.99</v>
      </c>
      <c r="H306" s="5" t="s">
        <v>998</v>
      </c>
      <c r="I306" s="3" t="s">
        <v>999</v>
      </c>
      <c r="J306" s="11" t="s">
        <v>36</v>
      </c>
      <c r="K306" s="17" t="n">
        <v>4.774</v>
      </c>
      <c r="L306" s="17" t="n">
        <v>4.774</v>
      </c>
      <c r="M306" s="3" t="s">
        <v>21</v>
      </c>
      <c r="N306" s="3" t="s">
        <v>767</v>
      </c>
      <c r="O306" s="3" t="s">
        <v>1000</v>
      </c>
      <c r="P306" s="12" t="s">
        <v>1033</v>
      </c>
    </row>
    <row r="307" spans="1:16">
      <c r="A307" s="9" t="s">
        <v>1001</v>
      </c>
      <c r="B307" s="3" t="s">
        <v>1002</v>
      </c>
      <c r="C307" s="5" t="n">
        <v>1.0</v>
      </c>
      <c r="D307" s="6" t="n">
        <v>10.0</v>
      </c>
      <c r="E307" s="6" t="n">
        <v>10.0</v>
      </c>
      <c r="F307" s="10" t="n">
        <v>19.99</v>
      </c>
      <c r="G307" s="6" t="n">
        <v>19.99</v>
      </c>
      <c r="H307" s="5" t="s">
        <v>1003</v>
      </c>
      <c r="I307" s="3" t="s">
        <v>1004</v>
      </c>
      <c r="J307" s="11" t="s">
        <v>48</v>
      </c>
      <c r="K307" s="17" t="n">
        <v>4.34</v>
      </c>
      <c r="L307" s="17" t="n">
        <v>4.34</v>
      </c>
      <c r="M307" s="3" t="s">
        <v>21</v>
      </c>
      <c r="N307" s="3" t="s">
        <v>767</v>
      </c>
      <c r="O307" s="3" t="s">
        <v>615</v>
      </c>
      <c r="P307" s="12" t="s">
        <v>1033</v>
      </c>
    </row>
    <row r="308" spans="1:16" ht="24.75">
      <c r="A308" s="9" t="s">
        <v>1005</v>
      </c>
      <c r="B308" s="3" t="s">
        <v>1006</v>
      </c>
      <c r="C308" s="5" t="n">
        <v>1.0</v>
      </c>
      <c r="D308" s="6" t="n">
        <v>9.0</v>
      </c>
      <c r="E308" s="6" t="n">
        <v>9.0</v>
      </c>
      <c r="F308" s="10" t="n">
        <v>14.98</v>
      </c>
      <c r="G308" s="6" t="n">
        <v>14.98</v>
      </c>
      <c r="H308" s="5" t="s">
        <v>1007</v>
      </c>
      <c r="I308" s="3" t="s">
        <v>47</v>
      </c>
      <c r="J308" s="11" t="s">
        <v>51</v>
      </c>
      <c r="K308" s="17" t="n">
        <v>3.906</v>
      </c>
      <c r="L308" s="17" t="n">
        <v>3.906</v>
      </c>
      <c r="M308" s="3" t="s">
        <v>21</v>
      </c>
      <c r="N308" s="3" t="s">
        <v>625</v>
      </c>
      <c r="O308" s="3" t="s">
        <v>78</v>
      </c>
      <c r="P308" s="12" t="s">
        <v>1033</v>
      </c>
    </row>
    <row r="309" spans="1:16" ht="24.75">
      <c r="A309" s="9" t="s">
        <v>1008</v>
      </c>
      <c r="B309" s="3" t="s">
        <v>1009</v>
      </c>
      <c r="C309" s="5" t="n">
        <v>2.0</v>
      </c>
      <c r="D309" s="6" t="n">
        <v>8.99</v>
      </c>
      <c r="E309" s="6" t="n">
        <v>17.98</v>
      </c>
      <c r="F309" s="10" t="n">
        <v>19.98</v>
      </c>
      <c r="G309" s="6" t="n">
        <v>39.96</v>
      </c>
      <c r="H309" s="5" t="s">
        <v>1010</v>
      </c>
      <c r="I309" s="3" t="s">
        <v>69</v>
      </c>
      <c r="J309" s="11" t="s">
        <v>36</v>
      </c>
      <c r="K309" s="17" t="n">
        <v>3.90166</v>
      </c>
      <c r="L309" s="17" t="n">
        <v>7.80332</v>
      </c>
      <c r="M309" s="3" t="s">
        <v>21</v>
      </c>
      <c r="N309" s="3" t="s">
        <v>191</v>
      </c>
      <c r="O309" s="3" t="s">
        <v>282</v>
      </c>
      <c r="P309" s="12" t="s">
        <v>1033</v>
      </c>
    </row>
    <row r="310" spans="1:16" ht="24.75">
      <c r="A310" s="9" t="s">
        <v>1011</v>
      </c>
      <c r="B310" s="3" t="s">
        <v>1012</v>
      </c>
      <c r="C310" s="5" t="n">
        <v>1.0</v>
      </c>
      <c r="D310" s="6" t="n">
        <v>8.8</v>
      </c>
      <c r="E310" s="6" t="n">
        <v>8.8</v>
      </c>
      <c r="F310" s="10" t="n">
        <v>22.0</v>
      </c>
      <c r="G310" s="6" t="n">
        <v>22.0</v>
      </c>
      <c r="H310" s="5" t="s">
        <v>1013</v>
      </c>
      <c r="I310" s="3" t="s">
        <v>173</v>
      </c>
      <c r="J310" s="11" t="s">
        <v>42</v>
      </c>
      <c r="K310" s="17" t="n">
        <v>3.8192</v>
      </c>
      <c r="L310" s="17" t="n">
        <v>3.8192</v>
      </c>
      <c r="M310" s="3" t="s">
        <v>21</v>
      </c>
      <c r="N310" s="3" t="s">
        <v>972</v>
      </c>
      <c r="O310" s="3" t="s">
        <v>973</v>
      </c>
      <c r="P310" s="12" t="s">
        <v>1033</v>
      </c>
    </row>
    <row r="311" spans="1:16" ht="24.75">
      <c r="A311" s="9" t="s">
        <v>1014</v>
      </c>
      <c r="B311" s="3" t="s">
        <v>1015</v>
      </c>
      <c r="C311" s="5" t="n">
        <v>1.0</v>
      </c>
      <c r="D311" s="6" t="n">
        <v>8.8</v>
      </c>
      <c r="E311" s="6" t="n">
        <v>8.8</v>
      </c>
      <c r="F311" s="10" t="n">
        <v>22.0</v>
      </c>
      <c r="G311" s="6" t="n">
        <v>22.0</v>
      </c>
      <c r="H311" s="5" t="s">
        <v>1016</v>
      </c>
      <c r="I311" s="3" t="s">
        <v>367</v>
      </c>
      <c r="J311" s="11" t="s">
        <v>42</v>
      </c>
      <c r="K311" s="17" t="n">
        <v>3.8192</v>
      </c>
      <c r="L311" s="17" t="n">
        <v>3.8192</v>
      </c>
      <c r="M311" s="3" t="s">
        <v>21</v>
      </c>
      <c r="N311" s="3" t="s">
        <v>972</v>
      </c>
      <c r="O311" s="3" t="s">
        <v>973</v>
      </c>
      <c r="P311" s="12" t="s">
        <v>1033</v>
      </c>
    </row>
    <row r="312" spans="1:16">
      <c r="A312" s="9" t="s">
        <v>1017</v>
      </c>
      <c r="B312" s="3" t="s">
        <v>1018</v>
      </c>
      <c r="C312" s="5" t="n">
        <v>1.0</v>
      </c>
      <c r="D312" s="6" t="n">
        <v>8.8</v>
      </c>
      <c r="E312" s="6" t="n">
        <v>8.8</v>
      </c>
      <c r="F312" s="10" t="n">
        <v>22.0</v>
      </c>
      <c r="G312" s="6" t="n">
        <v>22.0</v>
      </c>
      <c r="H312" s="5" t="s">
        <v>1019</v>
      </c>
      <c r="I312" s="3" t="s">
        <v>47</v>
      </c>
      <c r="J312" s="11" t="s">
        <v>42</v>
      </c>
      <c r="K312" s="17" t="n">
        <v>3.8192</v>
      </c>
      <c r="L312" s="17" t="n">
        <v>3.8192</v>
      </c>
      <c r="M312" s="3" t="s">
        <v>21</v>
      </c>
      <c r="N312" s="3" t="s">
        <v>972</v>
      </c>
      <c r="O312" s="3" t="s">
        <v>973</v>
      </c>
      <c r="P312" s="12" t="s">
        <v>1033</v>
      </c>
    </row>
    <row r="313" spans="1:16" ht="24.75">
      <c r="A313" s="9" t="s">
        <v>1020</v>
      </c>
      <c r="B313" s="3" t="s">
        <v>1012</v>
      </c>
      <c r="C313" s="5" t="n">
        <v>1.0</v>
      </c>
      <c r="D313" s="6" t="n">
        <v>8.8</v>
      </c>
      <c r="E313" s="6" t="n">
        <v>8.8</v>
      </c>
      <c r="F313" s="10" t="n">
        <v>22.0</v>
      </c>
      <c r="G313" s="6" t="n">
        <v>22.0</v>
      </c>
      <c r="H313" s="5" t="s">
        <v>1013</v>
      </c>
      <c r="I313" s="3" t="s">
        <v>173</v>
      </c>
      <c r="J313" s="11" t="s">
        <v>36</v>
      </c>
      <c r="K313" s="17" t="n">
        <v>3.8192</v>
      </c>
      <c r="L313" s="17" t="n">
        <v>3.8192</v>
      </c>
      <c r="M313" s="3" t="s">
        <v>21</v>
      </c>
      <c r="N313" s="3" t="s">
        <v>972</v>
      </c>
      <c r="O313" s="3" t="s">
        <v>973</v>
      </c>
      <c r="P313" s="12" t="s">
        <v>1033</v>
      </c>
    </row>
    <row r="314" spans="1:16" ht="24.75">
      <c r="A314" s="9" t="s">
        <v>1021</v>
      </c>
      <c r="B314" s="3" t="s">
        <v>1022</v>
      </c>
      <c r="C314" s="5" t="n">
        <v>1.0</v>
      </c>
      <c r="D314" s="6" t="n">
        <v>8.75</v>
      </c>
      <c r="E314" s="6" t="n">
        <v>8.75</v>
      </c>
      <c r="F314" s="10" t="n">
        <v>24.99</v>
      </c>
      <c r="G314" s="6" t="n">
        <v>24.99</v>
      </c>
      <c r="H314" s="5" t="s">
        <v>1023</v>
      </c>
      <c r="I314" s="3" t="s">
        <v>62</v>
      </c>
      <c r="J314" s="11" t="s">
        <v>54</v>
      </c>
      <c r="K314" s="17" t="n">
        <v>3.7975000000000003</v>
      </c>
      <c r="L314" s="17" t="n">
        <v>3.7975000000000003</v>
      </c>
      <c r="M314" s="3" t="s">
        <v>21</v>
      </c>
      <c r="N314" s="3" t="s">
        <v>460</v>
      </c>
      <c r="O314" s="3" t="s">
        <v>488</v>
      </c>
      <c r="P314" s="12" t="s">
        <v>1033</v>
      </c>
    </row>
    <row r="315" spans="1:16" ht="24.75">
      <c r="A315" s="9" t="s">
        <v>1024</v>
      </c>
      <c r="B315" s="3" t="s">
        <v>1025</v>
      </c>
      <c r="C315" s="5" t="n">
        <v>1.0</v>
      </c>
      <c r="D315" s="6" t="n">
        <v>8.75</v>
      </c>
      <c r="E315" s="6" t="n">
        <v>8.75</v>
      </c>
      <c r="F315" s="10" t="n">
        <v>24.99</v>
      </c>
      <c r="G315" s="6" t="n">
        <v>24.99</v>
      </c>
      <c r="H315" s="5" t="s">
        <v>1023</v>
      </c>
      <c r="I315" s="3" t="s">
        <v>100</v>
      </c>
      <c r="J315" s="11" t="s">
        <v>42</v>
      </c>
      <c r="K315" s="17" t="n">
        <v>3.7975000000000003</v>
      </c>
      <c r="L315" s="17" t="n">
        <v>3.7975000000000003</v>
      </c>
      <c r="M315" s="3" t="s">
        <v>21</v>
      </c>
      <c r="N315" s="3" t="s">
        <v>460</v>
      </c>
      <c r="O315" s="3" t="s">
        <v>488</v>
      </c>
      <c r="P315" s="12" t="s">
        <v>1033</v>
      </c>
    </row>
    <row r="316" spans="1:16" ht="24.75">
      <c r="A316" s="9" t="s">
        <v>1026</v>
      </c>
      <c r="B316" s="3" t="s">
        <v>1027</v>
      </c>
      <c r="C316" s="5" t="n">
        <v>1.0</v>
      </c>
      <c r="D316" s="6" t="n">
        <v>6.0</v>
      </c>
      <c r="E316" s="6" t="n">
        <v>6.0</v>
      </c>
      <c r="F316" s="10" t="n">
        <v>12.99</v>
      </c>
      <c r="G316" s="6" t="n">
        <v>12.99</v>
      </c>
      <c r="H316" s="5" t="s">
        <v>1028</v>
      </c>
      <c r="I316" s="3" t="s">
        <v>62</v>
      </c>
      <c r="J316" s="11" t="s">
        <v>36</v>
      </c>
      <c r="K316" s="17" t="n">
        <v>2.604</v>
      </c>
      <c r="L316" s="17" t="n">
        <v>2.604</v>
      </c>
      <c r="M316" s="3" t="s">
        <v>21</v>
      </c>
      <c r="N316" s="3" t="s">
        <v>625</v>
      </c>
      <c r="O316" s="3" t="s">
        <v>813</v>
      </c>
      <c r="P316" s="12" t="s">
        <v>1033</v>
      </c>
    </row>
    <row r="317" spans="1:16" ht="24.75">
      <c r="A317" s="9" t="s">
        <v>1029</v>
      </c>
      <c r="B317" s="3" t="s">
        <v>1030</v>
      </c>
      <c r="C317" s="5" t="n">
        <v>4.0</v>
      </c>
      <c r="D317" s="6" t="n">
        <v>4.85</v>
      </c>
      <c r="E317" s="6" t="n">
        <v>19.4</v>
      </c>
      <c r="F317" s="10" t="n">
        <v>9.99</v>
      </c>
      <c r="G317" s="6" t="n">
        <v>39.96</v>
      </c>
      <c r="H317" s="5" t="s">
        <v>1031</v>
      </c>
      <c r="I317" s="3" t="s">
        <v>137</v>
      </c>
      <c r="J317" s="11" t="s">
        <v>54</v>
      </c>
      <c r="K317" s="17" t="n">
        <v>2.1049</v>
      </c>
      <c r="L317" s="17" t="n">
        <v>8.4196</v>
      </c>
      <c r="M317" s="3" t="s">
        <v>21</v>
      </c>
      <c r="N317" s="3" t="s">
        <v>689</v>
      </c>
      <c r="O317" s="3" t="s">
        <v>615</v>
      </c>
      <c r="P317" s="12" t="s">
        <v>1033</v>
      </c>
    </row>
    <row r="318" spans="1:16" ht="24.75">
      <c r="A318" s="9" t="s">
        <v>1032</v>
      </c>
      <c r="B318" s="3" t="s">
        <v>1030</v>
      </c>
      <c r="C318" s="5" t="n">
        <v>2.0</v>
      </c>
      <c r="D318" s="6" t="n">
        <v>4.85</v>
      </c>
      <c r="E318" s="6" t="n">
        <v>9.7</v>
      </c>
      <c r="F318" s="10" t="n">
        <v>9.99</v>
      </c>
      <c r="G318" s="6" t="n">
        <v>19.98</v>
      </c>
      <c r="H318" s="5" t="s">
        <v>1031</v>
      </c>
      <c r="I318" s="3" t="s">
        <v>137</v>
      </c>
      <c r="J318" s="11" t="s">
        <v>36</v>
      </c>
      <c r="K318" s="17" t="n">
        <v>2.1049</v>
      </c>
      <c r="L318" s="17" t="n">
        <v>4.2098</v>
      </c>
      <c r="M318" s="3" t="s">
        <v>21</v>
      </c>
      <c r="N318" s="3" t="s">
        <v>689</v>
      </c>
      <c r="O318" s="3" t="s">
        <v>615</v>
      </c>
      <c r="P318" s="12" t="s">
        <v>1033</v>
      </c>
    </row>
    <row r="319" spans="1:16" ht="24.75"/>
    <row r="320" spans="1:16"/>
    <row r="321" spans="1:16"/>
    <row r="322"/>
  </sheetData>
  <pageMargins left="0.5" right="0.5" top="0.25" bottom="0.25" header="0.3" footer="0.3"/>
  <pageSetup scale="6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BOLDetails1.xls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2015-09-12T01:39:44Z</dcterms:created>
  <dc:creator>Oleg</dc:creator>
  <lastModifiedBy>Oleg</lastModifiedBy>
  <dcterms:modified xsi:type="dcterms:W3CDTF">2015-09-12T01:39:44Z</dcterms:modified>
</coreProperties>
</file>