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BOLDetails1.xls" sheetId="1" r:id="rId1"/>
  </sheets>
  <calcPr calcId="125725"/>
</workbook>
</file>

<file path=xl/calcChain.xml><?xml version="1.0" encoding="utf-8"?>
<calcChain xmlns="http://schemas.openxmlformats.org/spreadsheetml/2006/main">
  <c r="P238" i="1"/>
  <c r="P237"/>
  <c r="P236"/>
  <c r="P235"/>
  <c r="P234"/>
  <c r="P233"/>
  <c r="P232"/>
  <c r="P231"/>
  <c r="P230"/>
  <c r="P229"/>
  <c r="P228"/>
  <c r="P227"/>
  <c r="P226"/>
  <c r="P225"/>
  <c r="P224"/>
  <c r="P223"/>
  <c r="P222"/>
  <c r="P221"/>
  <c r="P220"/>
  <c r="P219"/>
  <c r="P218"/>
  <c r="P217"/>
  <c r="P216"/>
  <c r="P215"/>
  <c r="P214"/>
  <c r="P213"/>
  <c r="P212"/>
  <c r="P211"/>
  <c r="P210"/>
  <c r="P209"/>
  <c r="P208"/>
  <c r="P207"/>
  <c r="P206"/>
  <c r="P205"/>
  <c r="P204"/>
  <c r="P203"/>
  <c r="P202"/>
  <c r="P201"/>
  <c r="P200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</calcChain>
</file>

<file path=xl/sharedStrings.xml><?xml version="1.0" encoding="utf-8"?>
<sst xmlns="http://schemas.openxmlformats.org/spreadsheetml/2006/main" count="12069" uniqueCount="1197">
  <si>
    <t>LOCATION</t>
  </si>
  <si>
    <t>LOT #</t>
  </si>
  <si>
    <t>BOL #</t>
  </si>
  <si>
    <t>CATEGORY</t>
  </si>
  <si>
    <t>RETURN TYPE</t>
  </si>
  <si>
    <t># OF PALLETS</t>
  </si>
  <si>
    <t># OF CARTONS</t>
  </si>
  <si>
    <t>TOTAL ORIGINAL COST</t>
  </si>
  <si>
    <t>TOTAL ORIGINAL RETAIL</t>
  </si>
  <si>
    <t># OF UNITS</t>
  </si>
  <si>
    <t>TOTAL CLIENT COST</t>
  </si>
  <si>
    <t>AVG. UNIT CLIENT COST</t>
  </si>
  <si>
    <t>SOUTH WINDSOR CRC, SOUTH WINDSOR, CT</t>
  </si>
  <si>
    <t>WOMENS EVERYDAY APPAREL</t>
  </si>
  <si>
    <t>STORE STOCK</t>
  </si>
  <si>
    <t>TOTAL:</t>
  </si>
  <si>
    <t>DIVISION</t>
  </si>
  <si>
    <t>% OF UNITS</t>
  </si>
  <si>
    <t>CLIENT COST</t>
  </si>
  <si>
    <t>ORIGINAL COST</t>
  </si>
  <si>
    <t>MCY</t>
  </si>
  <si>
    <t>UPC</t>
  </si>
  <si>
    <t>ITEM DESCRIPTION</t>
  </si>
  <si>
    <t>ORIGINAL QTY</t>
  </si>
  <si>
    <t>ORIGINAL RETAIL</t>
  </si>
  <si>
    <t>VENDOR / STYLE #</t>
  </si>
  <si>
    <t>COLOR</t>
  </si>
  <si>
    <t>SIZE</t>
  </si>
  <si>
    <t>DEPARTMENT NAME</t>
  </si>
  <si>
    <t>VENDOR NAME</t>
  </si>
  <si>
    <t>IMAGE</t>
  </si>
  <si>
    <t>766182365169</t>
  </si>
  <si>
    <t>THE NORTH FACE COAT, METROPOLIS HOODED PUFFER GRAPHITE GREY XL</t>
  </si>
  <si>
    <t>A8YA044</t>
  </si>
  <si>
    <t>GRAY</t>
  </si>
  <si>
    <t>XL</t>
  </si>
  <si>
    <t>NORTHFACE RTW</t>
  </si>
  <si>
    <t>NORTH FACE/VF OUTDOOR INC/V F CORP</t>
  </si>
  <si>
    <t>808390788269</t>
  </si>
  <si>
    <t>THE NORTH FACE COAT, THERMOBALL QUILTED PACKA HIGH RISE GREYGREYSTONE BLUE XL</t>
  </si>
  <si>
    <t>A7ZLA0M</t>
  </si>
  <si>
    <t>658100823755</t>
  </si>
  <si>
    <t>THE NORTH FACE JACKET, APEX BIONIC SOFT-SHELL LAVENDULA PURPLE L</t>
  </si>
  <si>
    <t>AMVXH9E</t>
  </si>
  <si>
    <t>PURPLE</t>
  </si>
  <si>
    <t>LARGE</t>
  </si>
  <si>
    <t>885719675639</t>
  </si>
  <si>
    <t>CALVIN KLEIN SLEEVELESS SEAMED BELTED DRESS FIRE 6</t>
  </si>
  <si>
    <t>CD4X17D7</t>
  </si>
  <si>
    <t>RED</t>
  </si>
  <si>
    <t>6</t>
  </si>
  <si>
    <t>CK DRESSES</t>
  </si>
  <si>
    <t>CALVIN KLEIN/G-III APPAREL GROUP</t>
  </si>
  <si>
    <t>885719773724</t>
  </si>
  <si>
    <t>CALVIN KLEIN TWO-BUTTON BLAZER BLUE 16</t>
  </si>
  <si>
    <t>S41JL706</t>
  </si>
  <si>
    <t>BLUE</t>
  </si>
  <si>
    <t>16</t>
  </si>
  <si>
    <t>CK MS SUITSEP</t>
  </si>
  <si>
    <t>39378229737</t>
  </si>
  <si>
    <t>WATERCLOR HIWAIST DR</t>
  </si>
  <si>
    <t>A OR SMALL</t>
  </si>
  <si>
    <t>VINCE CAMUTO</t>
  </si>
  <si>
    <t>VINCE CAMUTO/BERNARD CHAUS</t>
  </si>
  <si>
    <t>8874558269</t>
  </si>
  <si>
    <t>RACHEL RACHEL ROY RACHEL RACHEL ROY TWO-TONE ROM ANTIQUE WHITE XL</t>
  </si>
  <si>
    <t>WHITE</t>
  </si>
  <si>
    <t>RACHEL ROY</t>
  </si>
  <si>
    <t>RACHEL RACHEL ROY/RROPCO LLC</t>
  </si>
  <si>
    <t>8875398116</t>
  </si>
  <si>
    <t>RACHEL RACHEL ROY RACHEL RACHEL ROY HALTER DRESS BLACK XS</t>
  </si>
  <si>
    <t>BLACK</t>
  </si>
  <si>
    <t>XS</t>
  </si>
  <si>
    <t>8875465443</t>
  </si>
  <si>
    <t>RACHEL RACHEL ROY LONG-SLEEVE FAUX-WRAP FLARED D GOLDEN OLIVE S</t>
  </si>
  <si>
    <t>BRIGHT GRN</t>
  </si>
  <si>
    <t>S</t>
  </si>
  <si>
    <t>637439484417</t>
  </si>
  <si>
    <t>THE NORTH FACE MEZZALUNA HOODIE SUGARY PINK HEATHER M</t>
  </si>
  <si>
    <t>A7QMJ9B</t>
  </si>
  <si>
    <t>PINK</t>
  </si>
  <si>
    <t>M</t>
  </si>
  <si>
    <t>662136013684</t>
  </si>
  <si>
    <t>BAR III SCOOP-NECK BODY-CON KNIT SWEAT BLACK COMBO M</t>
  </si>
  <si>
    <t>B391139BCO</t>
  </si>
  <si>
    <t>BAR III RTW</t>
  </si>
  <si>
    <t>BAR III-EDI/BY DESIGN</t>
  </si>
  <si>
    <t>662136013677</t>
  </si>
  <si>
    <t>BAR III SCOOP-NECK BODY-CON KNIT SWEAT BLACK COMBO S</t>
  </si>
  <si>
    <t>662136013707</t>
  </si>
  <si>
    <t>BAR III SCOOP-NECK BODY-CON KNIT SWEAT BLACK COMBO XL</t>
  </si>
  <si>
    <t>646823664236</t>
  </si>
  <si>
    <t>KENSIE FLUTTER-SLEEVE SCOOP-NECK ABST HAZY AQUA COMBO S</t>
  </si>
  <si>
    <t>KS8K7203</t>
  </si>
  <si>
    <t>GREEN</t>
  </si>
  <si>
    <t>KENSIE</t>
  </si>
  <si>
    <t>KENSIE/G-III APPAREL GROUP</t>
  </si>
  <si>
    <t>646823661945</t>
  </si>
  <si>
    <t>KENSIE LONG-SLEEVE V-NECK PRINTED MIX HAZY AQUA COMBO XS</t>
  </si>
  <si>
    <t>KS8K5476</t>
  </si>
  <si>
    <t>887922781503</t>
  </si>
  <si>
    <t>KENSIE KENSIE ASYMMETRICAL TOP HEATHER CLOUDY COMBO M</t>
  </si>
  <si>
    <t>KS3K5446</t>
  </si>
  <si>
    <t>8874062308</t>
  </si>
  <si>
    <t>RACHEL RACHEL ROY RACHEL RACHEL ROY JUMPSUIT SLATE BLUE M</t>
  </si>
  <si>
    <t>MED BLUE</t>
  </si>
  <si>
    <t>794893650151</t>
  </si>
  <si>
    <t>BAR III THREE-QUARTER OPEN-FRONT DRAPE RED DAHLIA XL</t>
  </si>
  <si>
    <t>MJW185RDH</t>
  </si>
  <si>
    <t>REDOVERFLW</t>
  </si>
  <si>
    <t>BAR III-EDI/NECESSARY OBJECTS</t>
  </si>
  <si>
    <t>794893725033</t>
  </si>
  <si>
    <t>BAR III THREE-QUARTER-SLEEVE CASCADE-L SEA COVE M</t>
  </si>
  <si>
    <t>MJW576SCV</t>
  </si>
  <si>
    <t>794893722261</t>
  </si>
  <si>
    <t>BAR III SHORT-SLEEEVE CREW-NECK CHEETA BLACK COMBO S</t>
  </si>
  <si>
    <t>MDK601BCO</t>
  </si>
  <si>
    <t>762729906611</t>
  </si>
  <si>
    <t>RACHEL RACHEL ROY SKIRT, FITTED STRIPE GERANIUM COMBO M</t>
  </si>
  <si>
    <t>MED PINK</t>
  </si>
  <si>
    <t>794893704427</t>
  </si>
  <si>
    <t>BAR III SLEEVELESS SQUARE-NECK SHEATH ZINFANDEL L</t>
  </si>
  <si>
    <t>MDK579ZIN</t>
  </si>
  <si>
    <t>794893701051</t>
  </si>
  <si>
    <t>BAR III SLEEVELESS SOLID JUMPSUIT BLACK L</t>
  </si>
  <si>
    <t>MPW584BLK</t>
  </si>
  <si>
    <t>794893722278</t>
  </si>
  <si>
    <t>BAR III SHORT-SLEEEVE CREW-NECK CHEETA BLACK COMBO M</t>
  </si>
  <si>
    <t>794893722285</t>
  </si>
  <si>
    <t>BAR III SHORT-SLEEEVE CREW-NECK CHEETA BLACK COMBO L</t>
  </si>
  <si>
    <t>806256906819</t>
  </si>
  <si>
    <t>BAR III SEMI-SHEER POLKA-DOT DRESS BLACK COMBO L</t>
  </si>
  <si>
    <t>W32849PBCO</t>
  </si>
  <si>
    <t>BAR III-EDI/BOG</t>
  </si>
  <si>
    <t>886878346392</t>
  </si>
  <si>
    <t>LEVIS PETITE JEANS, BOOTCUT-LEG, SUN SUNSET GLOW 10P</t>
  </si>
  <si>
    <t>LT/PASBLUE</t>
  </si>
  <si>
    <t>CAS DNM SEP P</t>
  </si>
  <si>
    <t>LEVI STRAUSS</t>
  </si>
  <si>
    <t>52177476287</t>
  </si>
  <si>
    <t>LEVIS STRAIGHT-LEG JEANS, DARK MINER BLUE 4R</t>
  </si>
  <si>
    <t>NAVY</t>
  </si>
  <si>
    <t>4 AV/MD/RG</t>
  </si>
  <si>
    <t>LEVI'S MISSY</t>
  </si>
  <si>
    <t>52178858488</t>
  </si>
  <si>
    <t>LEVIS 515 BOOTCUT JEANS, UNDERCURREN UNDERCURRENT WASH 16S</t>
  </si>
  <si>
    <t>886878788208</t>
  </si>
  <si>
    <t>LEVIS JEANS, 515 BOOTCUT-LEG, CLOUDS CLOUDS REST W LIGHTHOUSE 4R</t>
  </si>
  <si>
    <t>636193160032</t>
  </si>
  <si>
    <t>MAISON JULES THREE-QUARTER-SLEEVE STRIPED K GRENADINE COMBO M</t>
  </si>
  <si>
    <t>52DF14GRC</t>
  </si>
  <si>
    <t>BRIGHT RED</t>
  </si>
  <si>
    <t>MAISON J/M&amp;M</t>
  </si>
  <si>
    <t>MAISON JULES-MMG</t>
  </si>
  <si>
    <t>636193160018</t>
  </si>
  <si>
    <t>MAISON JULES THREE-QUARTER-SLEEVE STRIPED K GRENADINE COMBO XS</t>
  </si>
  <si>
    <t>887430320317</t>
  </si>
  <si>
    <t>BAR III SLEEVELESS V-NECK PRINTED A-LI BLACK COMBO M</t>
  </si>
  <si>
    <t>D007540BCO</t>
  </si>
  <si>
    <t>BAR III-EDI/TOPSON DOWNS</t>
  </si>
  <si>
    <t>806256906673</t>
  </si>
  <si>
    <t>BAR III SLEEVELESS RUFFLED DRESS ZINFANDEL L</t>
  </si>
  <si>
    <t>W32850SZIN</t>
  </si>
  <si>
    <t>704624132320</t>
  </si>
  <si>
    <t>RACHEL RACHEL ROY SKINNY MOTO JEANS, CONCRETE GR CONCRETE GREY 31</t>
  </si>
  <si>
    <t>MED BEIGE</t>
  </si>
  <si>
    <t>704624132214</t>
  </si>
  <si>
    <t>RACHEL RACHEL ROY SKINNY MOTO JEANS, AURELIS WAS AURELIS 30</t>
  </si>
  <si>
    <t>SQUARE 30</t>
  </si>
  <si>
    <t>91201921256</t>
  </si>
  <si>
    <t>NIKE PLUS SIZE PANTS, DRI-FIT ACTIV BLACK 2X</t>
  </si>
  <si>
    <t>CHARCOAL</t>
  </si>
  <si>
    <t>2X</t>
  </si>
  <si>
    <t>PLUS ACTIVE</t>
  </si>
  <si>
    <t>NIKE USA INC</t>
  </si>
  <si>
    <t>8874557804</t>
  </si>
  <si>
    <t>RACHEL RACHEL ROY RACHEL RACHEL ROY PRINTED ROMP BLACK COMBO 10</t>
  </si>
  <si>
    <t>10</t>
  </si>
  <si>
    <t>8874555053</t>
  </si>
  <si>
    <t>RACHEL RACHEL ROY RACHEL RACHEL ROY FLORAL-PRINT INK COMBO L</t>
  </si>
  <si>
    <t>636193141864</t>
  </si>
  <si>
    <t>MAISON JULES RUCHED WAISTBAND DRESS PEACOAT M</t>
  </si>
  <si>
    <t>70DF14PEA</t>
  </si>
  <si>
    <t>666805761173</t>
  </si>
  <si>
    <t>ALFRED DUNNER PLUS SIZE SHORT-LENGTH STRAIGH LAKE BLUE 18W</t>
  </si>
  <si>
    <t>31601GS</t>
  </si>
  <si>
    <t>18W AVER</t>
  </si>
  <si>
    <t>DUNNER WOMENS</t>
  </si>
  <si>
    <t>ALFRED DUNNER</t>
  </si>
  <si>
    <t>640217352259</t>
  </si>
  <si>
    <t>SPENSE PLUS SIZE DRESS, CAP SLEEVE RU COBALT BREEZE 18W</t>
  </si>
  <si>
    <t>66724W</t>
  </si>
  <si>
    <t>18W</t>
  </si>
  <si>
    <t>NY COL WOMENS</t>
  </si>
  <si>
    <t>SPENSE/H M S PRODUCTIONS</t>
  </si>
  <si>
    <t>636202545157</t>
  </si>
  <si>
    <t>BAR III LONG-SLEEVE SCOOP-NECK CABLE-K CAMEO ROSE XL</t>
  </si>
  <si>
    <t>14820CRM</t>
  </si>
  <si>
    <t>BAR III-MMG</t>
  </si>
  <si>
    <t>666805752072</t>
  </si>
  <si>
    <t>ALFRED DUNNER STRAIGHT-LEG PULL-ON PANTS OLIVE 14</t>
  </si>
  <si>
    <t>33501GU</t>
  </si>
  <si>
    <t>DARK GREEN</t>
  </si>
  <si>
    <t>14AV/MD/RG</t>
  </si>
  <si>
    <t>DUNNER MISSY</t>
  </si>
  <si>
    <t>666805740062</t>
  </si>
  <si>
    <t>ALFRED DUNNER STRAIGHT-LEG PULL-ON PANTS SILVER 20</t>
  </si>
  <si>
    <t>31501GS</t>
  </si>
  <si>
    <t>SILVER</t>
  </si>
  <si>
    <t>20AV/MD/RG</t>
  </si>
  <si>
    <t>666805752096</t>
  </si>
  <si>
    <t>ALFRED DUNNER STRAIGHT-LEG PULL-ON PANTS OLIVE 18</t>
  </si>
  <si>
    <t>18AV/MD/RG</t>
  </si>
  <si>
    <t>666805700271</t>
  </si>
  <si>
    <t>ALFRED DUNNER PETITE CROPPED STRAIGHT-LEG PA BANANA 18P</t>
  </si>
  <si>
    <t>27700GO</t>
  </si>
  <si>
    <t>MED YELLOW</t>
  </si>
  <si>
    <t>24X6</t>
  </si>
  <si>
    <t>DUNNER PETITE</t>
  </si>
  <si>
    <t>666805700226</t>
  </si>
  <si>
    <t>ALFRED DUNNER PETITE CROPPED STRAIGHT-LEG PA BANANA 8P</t>
  </si>
  <si>
    <t>18X4.5</t>
  </si>
  <si>
    <t>806256940806</t>
  </si>
  <si>
    <t>BAR III SCOOP-NECK THREE-QUARTER-SLEEV RED DAHLIA XL</t>
  </si>
  <si>
    <t>TL25106RDH</t>
  </si>
  <si>
    <t>BAR III-EDI/UNGER FABRIC</t>
  </si>
  <si>
    <t>887368136172</t>
  </si>
  <si>
    <t>ECI CHEVRON-PRINT BOAT-NECK SHIFT NAVYTEAL 18</t>
  </si>
  <si>
    <t>SQUARE 18</t>
  </si>
  <si>
    <t>CAREER CLSFTN</t>
  </si>
  <si>
    <t>ECI/M M &amp; R INC/NEW VISION APPAREL</t>
  </si>
  <si>
    <t>829479464942</t>
  </si>
  <si>
    <t>GRACE ELEMENTS OPEN-FRONT SHAWL-COLLAR BLAZER JET BLACK L</t>
  </si>
  <si>
    <t>GRACE ELEMENTS/REPUBLIC CLOTHING</t>
  </si>
  <si>
    <t>829479301292</t>
  </si>
  <si>
    <t>GRACE ELEMENTS JACKET, PONTE-KNIT SIDE ZIPPER PORT 8</t>
  </si>
  <si>
    <t>8</t>
  </si>
  <si>
    <t>829479301056</t>
  </si>
  <si>
    <t>GRACE ELEMENTS JACKET, PONTE-KNIT SIDE ZIPPER TEAL 8</t>
  </si>
  <si>
    <t>636193311397</t>
  </si>
  <si>
    <t>JM COLLECTION PRINTED HOODED ANORAK STONEWALL L</t>
  </si>
  <si>
    <t>60977ST460</t>
  </si>
  <si>
    <t>DARK BEIGE</t>
  </si>
  <si>
    <t>JM COLL MISSY</t>
  </si>
  <si>
    <t>JM COLLECTION-MMG</t>
  </si>
  <si>
    <t>40326366107</t>
  </si>
  <si>
    <t>LEE PLATINUM BROOKLYN STRAIGHT-LEG JEANS, R RHINE 4</t>
  </si>
  <si>
    <t>P002118</t>
  </si>
  <si>
    <t>LEE JEANS</t>
  </si>
  <si>
    <t>LEE PLATINUM LABEL/VF JEANSWEAR</t>
  </si>
  <si>
    <t>700289289744</t>
  </si>
  <si>
    <t>CALVIN KLEIN HEATHERED HOODED PULLOVER AQUAMARINE M</t>
  </si>
  <si>
    <t>PF4T1670</t>
  </si>
  <si>
    <t>CK PERFORMNCE</t>
  </si>
  <si>
    <t>CK PERFORMANCE/G-III APPAREL GROUP</t>
  </si>
  <si>
    <t>636202237700</t>
  </si>
  <si>
    <t>MAISON JULES THREE-QUARTER-SLEEVE BOAT-NECK ZINFANDEL COMBO L</t>
  </si>
  <si>
    <t>75KF14ZCO</t>
  </si>
  <si>
    <t>DARK RED</t>
  </si>
  <si>
    <t>608381916561</t>
  </si>
  <si>
    <t>STYLECO. PLUS SIZE THREE-QUARTER-SLEEVE DEEP BLACK 1X</t>
  </si>
  <si>
    <t>18601DB171</t>
  </si>
  <si>
    <t>1X</t>
  </si>
  <si>
    <t>STYLE&amp;CO WMN</t>
  </si>
  <si>
    <t>STYLE &amp; CO-MMG</t>
  </si>
  <si>
    <t>887368182605</t>
  </si>
  <si>
    <t>ECI FAUX-SUEDE LEGGINGS BLACK M</t>
  </si>
  <si>
    <t>7059706755A</t>
  </si>
  <si>
    <t>887368182612</t>
  </si>
  <si>
    <t>ECI FAUX-SUEDE LEGGINGS BLACK L</t>
  </si>
  <si>
    <t>617171032893</t>
  </si>
  <si>
    <t>BAR III THREE-QUARTER-SLEEVE MAXI DRES NAVY XXL</t>
  </si>
  <si>
    <t>M36RSSNVY</t>
  </si>
  <si>
    <t>2XL</t>
  </si>
  <si>
    <t>BAR III-EDI/NEWPORT APPAREL</t>
  </si>
  <si>
    <t>636189628737</t>
  </si>
  <si>
    <t>JM COLLECTION PETITE STUDDED LINEN TUNIC BRIGHT WHITE 12P</t>
  </si>
  <si>
    <t>11306WH477</t>
  </si>
  <si>
    <t>12 P</t>
  </si>
  <si>
    <t>JM COL PETITE</t>
  </si>
  <si>
    <t>664480120155</t>
  </si>
  <si>
    <t>STYLECO. PRINTED PLEATED EMPIRE-WAIST D MEDALLION SITUATION S</t>
  </si>
  <si>
    <t>20132MS805</t>
  </si>
  <si>
    <t>STYLE &amp; CO</t>
  </si>
  <si>
    <t>704972354474</t>
  </si>
  <si>
    <t>NY COLLECTION PLUS SIZE THREE-QUARTER-SLEEVE BLACKWHITE 2X</t>
  </si>
  <si>
    <t>ZRSD0225</t>
  </si>
  <si>
    <t>NY COLLECTION/NOTATIONS INC</t>
  </si>
  <si>
    <t>829479643804</t>
  </si>
  <si>
    <t>GRACE ELEMENTS ASYMMETRICAL STRIPED LAYERED T BLUEBLACK L</t>
  </si>
  <si>
    <t>CAREER KNITS</t>
  </si>
  <si>
    <t>704972764235</t>
  </si>
  <si>
    <t>NY COLLECTION THREE-QUARTER-SLEEVE PRINTED B NAVY S</t>
  </si>
  <si>
    <t>XNKD0279</t>
  </si>
  <si>
    <t>788544390497</t>
  </si>
  <si>
    <t>NY COLLECTION THREE-QUARTER-SLEEVE B-SLIM DR BLACK L</t>
  </si>
  <si>
    <t>BQID0101</t>
  </si>
  <si>
    <t>884918720096</t>
  </si>
  <si>
    <t>BAR III DRAPED CARDIGAN TAN COMBO XS</t>
  </si>
  <si>
    <t>73370A2TAC</t>
  </si>
  <si>
    <t>BAR III-EDI/DISORDERLY KIDS LLC</t>
  </si>
  <si>
    <t>806256904907</t>
  </si>
  <si>
    <t>BAR III LACE MIDI SKIRT DEEP BLACK XS</t>
  </si>
  <si>
    <t>S858098BLK</t>
  </si>
  <si>
    <t>884918711995</t>
  </si>
  <si>
    <t>BAR III LONG-SLEEVE MIXED-MEDIA CARDIG CHARCOAL HEATHER L</t>
  </si>
  <si>
    <t>73482A1CAH</t>
  </si>
  <si>
    <t>884918740841</t>
  </si>
  <si>
    <t>BAR III DRAWSTRING KNIT MIDI PENCIL SK CHARCOAL COMBO M</t>
  </si>
  <si>
    <t>72232A1CAC</t>
  </si>
  <si>
    <t>794893704731</t>
  </si>
  <si>
    <t>BAR III SLEEVELESS ASYMMETRICAL TIERED SPHINX XL</t>
  </si>
  <si>
    <t>MTW577SPX</t>
  </si>
  <si>
    <t>806256926787</t>
  </si>
  <si>
    <t>BAR III SLEEVELESS SCOOP-NECK LACE-OVE DEEP BLACK XL</t>
  </si>
  <si>
    <t>T320568BLK</t>
  </si>
  <si>
    <t>887650307679</t>
  </si>
  <si>
    <t>JM COLLECTION CHEVRON-PRINT LAYERED TOP TERRA CHEVRON L</t>
  </si>
  <si>
    <t>20963TC460</t>
  </si>
  <si>
    <t>636202234389</t>
  </si>
  <si>
    <t>STYLECO. LACE-PANEL A-LINE DRESS DEEP BLACK S</t>
  </si>
  <si>
    <t>78000DB805</t>
  </si>
  <si>
    <t>636189698532</t>
  </si>
  <si>
    <t>JM COLLECTION RIBBED TEXTURED OPEN-FRONT CAR BLUE COMBO M</t>
  </si>
  <si>
    <t>90680CA460</t>
  </si>
  <si>
    <t>636189246979</t>
  </si>
  <si>
    <t>STYLECO. PLUS SIZE CHAMBRAY DRAWSTRING LIGHT CHAMBRAY 3X</t>
  </si>
  <si>
    <t>53278LC171</t>
  </si>
  <si>
    <t>3X</t>
  </si>
  <si>
    <t>636202599471</t>
  </si>
  <si>
    <t>STYLECO. FAUX-SUEDE-SLEEVE COLORBLOCK T TEAL QUARRY L</t>
  </si>
  <si>
    <t>25855QR805</t>
  </si>
  <si>
    <t>636202352236</t>
  </si>
  <si>
    <t>JM COLLECTION DOLMAN-SLEEVE ANIMAL-PRINT TOP ANIMAL STORM M</t>
  </si>
  <si>
    <t>90728IV460</t>
  </si>
  <si>
    <t>NATURAL</t>
  </si>
  <si>
    <t>636202352229</t>
  </si>
  <si>
    <t>JM COLLECTION DOLMAN-SLEEVE ANIMAL-PRINT TOP ANIMAL STORM S</t>
  </si>
  <si>
    <t>704972521463</t>
  </si>
  <si>
    <t>NY COLLECTION STRAPLESS ANIMAL-PRINT WIDE-LE TAN ERIE XL</t>
  </si>
  <si>
    <t>XITU2809</t>
  </si>
  <si>
    <t>BEIGE</t>
  </si>
  <si>
    <t>636189699669</t>
  </si>
  <si>
    <t>JM COLLECTION PETITE RIBBED TEXTURED OPEN-FR BLUE COMBO PXS</t>
  </si>
  <si>
    <t>90680CA477</t>
  </si>
  <si>
    <t>P/S PETITE</t>
  </si>
  <si>
    <t>806256905331</t>
  </si>
  <si>
    <t>BAR III LACE-INSET CAP-SLEEVE TOP EGGNOG M</t>
  </si>
  <si>
    <t>TY00459EGG</t>
  </si>
  <si>
    <t>887227111111</t>
  </si>
  <si>
    <t>NIKE TOP, SHORT-SLEEVE MILER DRI-FI VOLT L</t>
  </si>
  <si>
    <t>DARKYELLOW</t>
  </si>
  <si>
    <t>NIKE MISSES</t>
  </si>
  <si>
    <t>NIKE</t>
  </si>
  <si>
    <t>887650269434</t>
  </si>
  <si>
    <t>STYLECO. PLUS SIZE TUMMY-CONTROL PULL-O DEEP BLACK 3X</t>
  </si>
  <si>
    <t>54074DB171</t>
  </si>
  <si>
    <t>STYLE &amp; CO-EDI/DESIGN FOR ALL LLC</t>
  </si>
  <si>
    <t>640217521297</t>
  </si>
  <si>
    <t>CABLE GAUGE ILLUSION-STRIPE HANDKERCHIEF-H BEIGE M</t>
  </si>
  <si>
    <t>MC91508</t>
  </si>
  <si>
    <t>BROWN</t>
  </si>
  <si>
    <t>CABLE &amp; GAUGE/H M S PRODUCTIONS INC</t>
  </si>
  <si>
    <t>829479643507</t>
  </si>
  <si>
    <t>GRACE ELEMENTS PRINTED HANDKERCHIEF-HEM TUNIC BLUE WATERCOLOR L</t>
  </si>
  <si>
    <t>636189171271</t>
  </si>
  <si>
    <t>STYLECO. PLEATED-BACK HIGH-LOW SWEATER STONEWALL XL</t>
  </si>
  <si>
    <t>34485CK805</t>
  </si>
  <si>
    <t>636202484135</t>
  </si>
  <si>
    <t>STYLECO. LACE-UP PONCHO DEEP BLACK SM</t>
  </si>
  <si>
    <t>34875DB805</t>
  </si>
  <si>
    <t>636202190920</t>
  </si>
  <si>
    <t>JM COLLECTION FLORAL-PRINT EMBELLISHED TOP PLUM PRIM XL</t>
  </si>
  <si>
    <t>83394PF460</t>
  </si>
  <si>
    <t>704972487097</t>
  </si>
  <si>
    <t>NY COLLECTION PRINTED SLEEVELESS MAXI DRESS PACIFIC PLAZA M</t>
  </si>
  <si>
    <t>XITD1669</t>
  </si>
  <si>
    <t>636193515023</t>
  </si>
  <si>
    <t>JM COLLECTION PETITE BEADED PRINTED TUNIC GEO PROMEN PM</t>
  </si>
  <si>
    <t>83276GP477</t>
  </si>
  <si>
    <t>BRIGHTBLUE</t>
  </si>
  <si>
    <t>PET/MED</t>
  </si>
  <si>
    <t>636189940082</t>
  </si>
  <si>
    <t>JM COLLECTION PETITE BUTTERFLY-SLEEVE PRINTE BOHEMIAN BLACK PXS</t>
  </si>
  <si>
    <t>83428BB477</t>
  </si>
  <si>
    <t>636189939901</t>
  </si>
  <si>
    <t>JM COLLECTION PETITE FLUTTER-SLEEVE PRINTED TEA DECO PARADE PM</t>
  </si>
  <si>
    <t>83252TP477</t>
  </si>
  <si>
    <t>636189939871</t>
  </si>
  <si>
    <t>JM COLLECTION PETITE FLUTTER-SLEEVE PRINTED TEA DECO PARADE PXL</t>
  </si>
  <si>
    <t>636193505871</t>
  </si>
  <si>
    <t>JM COLLECTION FLORAL-PRINT TUNIC TOP MADRID MOSAIC L</t>
  </si>
  <si>
    <t>83279MM460</t>
  </si>
  <si>
    <t>636189939857</t>
  </si>
  <si>
    <t>JM COLLECTION PETITE FLUTTER-SLEEVE PRINTED TEA DECO PARADE PL</t>
  </si>
  <si>
    <t>887650283720</t>
  </si>
  <si>
    <t>JM COLLECTION STRAIGHT-LEG PANTS STONEWALL 12</t>
  </si>
  <si>
    <t>51718ST460</t>
  </si>
  <si>
    <t>12</t>
  </si>
  <si>
    <t>704624424760</t>
  </si>
  <si>
    <t>STYLECO. JEANS, CURVY-FIT CUFFED EX-BOY SEAGLASS 8</t>
  </si>
  <si>
    <t>53461SG819</t>
  </si>
  <si>
    <t>TURQ/AQUA</t>
  </si>
  <si>
    <t>STYLE&amp;COJEANS</t>
  </si>
  <si>
    <t>STYLE &amp; CO-EDI/JONES APPAREL GROUP</t>
  </si>
  <si>
    <t>704624424692</t>
  </si>
  <si>
    <t>STYLECO. JEANS, CURVY-FIT CUFFED EX-BOY SEAGLASS 12</t>
  </si>
  <si>
    <t>766360252830</t>
  </si>
  <si>
    <t>STYLECO. STYLECO. PETITE JEANS, SEAMED SIRRUS 8P</t>
  </si>
  <si>
    <t>52919SI141</t>
  </si>
  <si>
    <t>DARK BLUE</t>
  </si>
  <si>
    <t>8 P</t>
  </si>
  <si>
    <t>S&amp;C DNM PETIT</t>
  </si>
  <si>
    <t>9123329500</t>
  </si>
  <si>
    <t>STYLECO. PRINTED TULIP-FRONT SWEATER BLUE MARBLE L</t>
  </si>
  <si>
    <t>22467BM805</t>
  </si>
  <si>
    <t>664480083795</t>
  </si>
  <si>
    <t>STYLECO. PRINTED PEASANT TOP MULTI XL</t>
  </si>
  <si>
    <t>80030BG805</t>
  </si>
  <si>
    <t>618388618672</t>
  </si>
  <si>
    <t>STYLECO. SPACE-DYE MAXI SKIRT TEALBLACK M</t>
  </si>
  <si>
    <t>20158TL805</t>
  </si>
  <si>
    <t>829479464997</t>
  </si>
  <si>
    <t>GRACE ELEMENTS STRIPED PENCIL SKIRT BLACKWHITE L</t>
  </si>
  <si>
    <t>BRNOVERFLW</t>
  </si>
  <si>
    <t>829479465062</t>
  </si>
  <si>
    <t>GRACE ELEMENTS STRETCH-KNIT PENCIL SKIRT JET BLACK XS</t>
  </si>
  <si>
    <t>887368168401</t>
  </si>
  <si>
    <t>ECI RUCHED STRIPED ASYMMETRICAL-HE BLACKCORNFLOWER XL</t>
  </si>
  <si>
    <t>7450591263A</t>
  </si>
  <si>
    <t>700291173253</t>
  </si>
  <si>
    <t>KENSIE KENSIE BANANA-PRINT TEE BLACK COMBO S</t>
  </si>
  <si>
    <t>KS5K3202</t>
  </si>
  <si>
    <t>704973945459</t>
  </si>
  <si>
    <t>NY COLLECTION PETITE DRESS, ROLL-TAB-SLEEVE BARBADOS CHERRY PM</t>
  </si>
  <si>
    <t>YCJD0117</t>
  </si>
  <si>
    <t>NY COL PETITE</t>
  </si>
  <si>
    <t>640217137382</t>
  </si>
  <si>
    <t>CABLE GAUGE TOP, THREE-QUARTER-SLEEVE GEO- SMILEGEOABSTRACT M</t>
  </si>
  <si>
    <t>MC85098</t>
  </si>
  <si>
    <t>PINKOVERPL</t>
  </si>
  <si>
    <t>704972361977</t>
  </si>
  <si>
    <t>NY COLLECTION CHEVRON-PRINT FAUX-WRAP MAXI D BLUE ENTITY M</t>
  </si>
  <si>
    <t>XITD1725</t>
  </si>
  <si>
    <t>704972361960</t>
  </si>
  <si>
    <t>NY COLLECTION CHEVRON-PRINT FAUX-WRAP MAXI D BLUE ENTITY S</t>
  </si>
  <si>
    <t>704973945510</t>
  </si>
  <si>
    <t>NY COLLECTION PETITE DRESS, ROLL-TAB-SLEEVE MOUNTAIN GREEN PM</t>
  </si>
  <si>
    <t>636202432204</t>
  </si>
  <si>
    <t>STYLECO. FLECKED FRENCH-TERRY LACE-TRIM INK L</t>
  </si>
  <si>
    <t>25852IK805</t>
  </si>
  <si>
    <t>887650322429</t>
  </si>
  <si>
    <t>STYLECO. FAUX-LEATHER-PANEL COMFORT-WAI DEEP BLACK XS</t>
  </si>
  <si>
    <t>53442DB805</t>
  </si>
  <si>
    <t>636202581162</t>
  </si>
  <si>
    <t>STYLECO. SHOE-PRINT POINT-COLLAR LAYERE STEPPIN OUT BLACK S</t>
  </si>
  <si>
    <t>25871SB805</t>
  </si>
  <si>
    <t>636193367561</t>
  </si>
  <si>
    <t>STYLECO. PETITE THREE-QUARTER-SLEEVE PL SERENE TEAL PS</t>
  </si>
  <si>
    <t>94024SN151</t>
  </si>
  <si>
    <t>STYLE&amp;CO PET</t>
  </si>
  <si>
    <t>608356801182</t>
  </si>
  <si>
    <t>STYLECO. PETITE STRIPED POINTELLE V-NEC DEEP BLACKCLOUD PXL</t>
  </si>
  <si>
    <t>34428DB151</t>
  </si>
  <si>
    <t>704625900010</t>
  </si>
  <si>
    <t>STYLECO. PETITE DENIM TUMMY-CONTROL CAP COASTAL WASH 14P</t>
  </si>
  <si>
    <t>53704OS141</t>
  </si>
  <si>
    <t>14 P</t>
  </si>
  <si>
    <t>887650286868</t>
  </si>
  <si>
    <t>JM COLLECTION PLEATED HARDWARE LAYERED TOP AZTEC ETCH M</t>
  </si>
  <si>
    <t>83627AE460</t>
  </si>
  <si>
    <t>887650307747</t>
  </si>
  <si>
    <t>JM COLLECTION PRINTED SPLIT-NECK TOP GEO PAISLEY XL</t>
  </si>
  <si>
    <t>20962GP460</t>
  </si>
  <si>
    <t>829479554483</t>
  </si>
  <si>
    <t>GRACE ELEMENTS DRAPED-NECK SIDE-RUCHED DRESS BLACK L</t>
  </si>
  <si>
    <t>704972777860</t>
  </si>
  <si>
    <t>NY COLLECTION FAUX-LEATHER PLEATED MIDI SKIR BLACK 10</t>
  </si>
  <si>
    <t>XFLK0010</t>
  </si>
  <si>
    <t>608381812320</t>
  </si>
  <si>
    <t>STYLECO. CHIFFON-HEM CARDIGAN DEEP BLACK S</t>
  </si>
  <si>
    <t>25618DB805</t>
  </si>
  <si>
    <t>884462399434</t>
  </si>
  <si>
    <t>JOSEPH A SURPLICE-FRONT TOP BLACK L</t>
  </si>
  <si>
    <t>J2F216411M</t>
  </si>
  <si>
    <t>JOSEPH A/JOSEPH A COMPANY LLC</t>
  </si>
  <si>
    <t>887650307730</t>
  </si>
  <si>
    <t>JM COLLECTION PRINTED SPLIT-NECK TOP GEO PAISLEY L</t>
  </si>
  <si>
    <t>636202661819</t>
  </si>
  <si>
    <t>STYLECO. COLORBLOCK SWEATSHIRT TUNIC BLUEGREY L</t>
  </si>
  <si>
    <t>7592BGY697</t>
  </si>
  <si>
    <t>S&amp;C SPORT MS</t>
  </si>
  <si>
    <t>STYLE &amp; CO SPORT-MMG</t>
  </si>
  <si>
    <t>787165000969</t>
  </si>
  <si>
    <t>STYLECO. CURVY-FIT MODERN BOOTCUT JEANS BLACK RINSE 2PS</t>
  </si>
  <si>
    <t>53906SB141</t>
  </si>
  <si>
    <t>14X4</t>
  </si>
  <si>
    <t>664480103912</t>
  </si>
  <si>
    <t>STYLECO. PLUS SIZE SHORT-SLEEVE STRIPED FUSCHIACREAM 1X</t>
  </si>
  <si>
    <t>20096FC171</t>
  </si>
  <si>
    <t>887650283157</t>
  </si>
  <si>
    <t>JM COLLECTION SHORT-SLEEVE PRINTED LAYERED T MOSAIC PATCH L</t>
  </si>
  <si>
    <t>83528MP460</t>
  </si>
  <si>
    <t>704972488193</t>
  </si>
  <si>
    <t>NY COLLECTION SLEEVELESS KNOTTED MAXI DRESS BURNT ORANGE S</t>
  </si>
  <si>
    <t>XVCD0026</t>
  </si>
  <si>
    <t>884918751113</t>
  </si>
  <si>
    <t>STYLECO. GRAPHIC-PRINT CONTRAST-KNIT TO FACE OF PARIS L</t>
  </si>
  <si>
    <t>22390FP805</t>
  </si>
  <si>
    <t>884918643036</t>
  </si>
  <si>
    <t>STYLECO. LACE BLOUSON HENLEY CLOUD M</t>
  </si>
  <si>
    <t>22213CD805</t>
  </si>
  <si>
    <t>884918643029</t>
  </si>
  <si>
    <t>STYLECO. LACE BLOUSON HENLEY CLOUD S</t>
  </si>
  <si>
    <t>609588944296</t>
  </si>
  <si>
    <t>AGB ROLL-TAB-SLEEVE SMOCKED PEASAN PURPLE XL</t>
  </si>
  <si>
    <t>043134J</t>
  </si>
  <si>
    <t>X LARGE</t>
  </si>
  <si>
    <t>AGB/BYER CALIFORNIA</t>
  </si>
  <si>
    <t>704972242214</t>
  </si>
  <si>
    <t>ELEMENTZ NECKLACE-EMBELLISHED STRIPED L LINEAR RED L</t>
  </si>
  <si>
    <t>MKPF0028</t>
  </si>
  <si>
    <t>704972014118</t>
  </si>
  <si>
    <t>NY COLLECTION PETITE DRESS, THREE-QUARTER-SL BLACK PS</t>
  </si>
  <si>
    <t>YITD1540</t>
  </si>
  <si>
    <t>PET/SMALL</t>
  </si>
  <si>
    <t>636189447710</t>
  </si>
  <si>
    <t>STYLECO. PETITE TABBED CAPRI SKIMMER PA CHIC KHAKI 16P</t>
  </si>
  <si>
    <t>54065KH151</t>
  </si>
  <si>
    <t>16 P</t>
  </si>
  <si>
    <t>704972541195</t>
  </si>
  <si>
    <t>ELEMENTZ PLUS SIZE WIDE-LEG DRAWSTRING FLAX 2X</t>
  </si>
  <si>
    <t>WLNP0185</t>
  </si>
  <si>
    <t>704972541201</t>
  </si>
  <si>
    <t>ELEMENTZ PLUS SIZE WIDE-LEG DRAWSTRING FLAX 3X</t>
  </si>
  <si>
    <t>887922819602</t>
  </si>
  <si>
    <t>KENSIE SHORT-SLEEVE SCOOP-NECK STRIPE HEATHER SMOKE XS</t>
  </si>
  <si>
    <t>KS2K3S36</t>
  </si>
  <si>
    <t>887922819633</t>
  </si>
  <si>
    <t>KENSIE SHORT-SLEEVE SCOOP-NECK STRIPE HEATHER SMOKE L</t>
  </si>
  <si>
    <t>636193367226</t>
  </si>
  <si>
    <t>STYLECO. STRIPED LAYERED HOODIE SUMMER STRAW CHERRY XL</t>
  </si>
  <si>
    <t>7370SSF697</t>
  </si>
  <si>
    <t>636206444722</t>
  </si>
  <si>
    <t>KAREN SCOTT LONG-SLEEVE STRIPED TOP MEDIEVAL BLUE XL</t>
  </si>
  <si>
    <t>2860MIB243</t>
  </si>
  <si>
    <t>K SCOTT SPORT</t>
  </si>
  <si>
    <t>KAREN SCOTT SPORT-MMG</t>
  </si>
  <si>
    <t>636202661758</t>
  </si>
  <si>
    <t>STYLECO. COLORBLOCKED HIGH-LOW SWEATSHI DEEP BLACK S</t>
  </si>
  <si>
    <t>7400DBK697</t>
  </si>
  <si>
    <t>704972394609</t>
  </si>
  <si>
    <t>ELEMENTZ NECKLACE-EMBELLISHED STRIPED L DENIM UNDERLINE XL</t>
  </si>
  <si>
    <t>MNKF0204</t>
  </si>
  <si>
    <t>704972256457</t>
  </si>
  <si>
    <t>ELEMENTZ RUCHED THREE-QUARTER-SLEEVE LA BLACK M</t>
  </si>
  <si>
    <t>MHAF0216</t>
  </si>
  <si>
    <t>704972561247</t>
  </si>
  <si>
    <t>ELEMENTZ PETITE MIXED-MEDIA BUTTON-DOWN SIMPLY RUST PXL</t>
  </si>
  <si>
    <t>PRJB0245</t>
  </si>
  <si>
    <t>RUSTCOPPER</t>
  </si>
  <si>
    <t>704972351084</t>
  </si>
  <si>
    <t>NY COLLECTION PRINTED COLORBLOCK BUTTON-FRON LILAC AIRBRUSH M</t>
  </si>
  <si>
    <t>XPOB0301</t>
  </si>
  <si>
    <t>704972729869</t>
  </si>
  <si>
    <t>NY COLLECTION COLORBLOCK KEYHOLE SWEATER DRE BLACKBLUE S</t>
  </si>
  <si>
    <t>XSOD0173</t>
  </si>
  <si>
    <t>704972288694</t>
  </si>
  <si>
    <t>NY COLLECTION ROLL-TAB-SLEEVE BUTTON-FRONT B PRINCESS BLUE XL</t>
  </si>
  <si>
    <t>XPOB0289</t>
  </si>
  <si>
    <t>704972504572</t>
  </si>
  <si>
    <t>NY COLLECTION PRINTED WIDE-LEG SOFT PANTS SAILOR PAISLEY L</t>
  </si>
  <si>
    <t>XITP0308</t>
  </si>
  <si>
    <t>700809144560</t>
  </si>
  <si>
    <t>JM COLLECTION PANTS, STRAIGHT-LEG PULL-ON BLACK 14S</t>
  </si>
  <si>
    <t>248A366JM</t>
  </si>
  <si>
    <t>14 S</t>
  </si>
  <si>
    <t>JM COLLECTION-EDI/BRIGGS NEW YORK</t>
  </si>
  <si>
    <t>700809144461</t>
  </si>
  <si>
    <t>JM COLLECTION PANTS, STRAIGHT-LEG PULL-ON BLACK 16</t>
  </si>
  <si>
    <t>248A363JMB</t>
  </si>
  <si>
    <t>766380905846</t>
  </si>
  <si>
    <t>KAREN SCOTT PLUS SIZE TOP, THREE-QUARTER-S DEEP BLACK 2X</t>
  </si>
  <si>
    <t>2547DBK249</t>
  </si>
  <si>
    <t>KAREN SCOTT W</t>
  </si>
  <si>
    <t>KAREN SCOTT-MMG</t>
  </si>
  <si>
    <t>888000355722</t>
  </si>
  <si>
    <t>AMERICAN LIVING STRAIGHT-LEG CHINO SHORTS AMERICANA RED 12</t>
  </si>
  <si>
    <t>AM LIVING MSY</t>
  </si>
  <si>
    <t>AMERICAN LIVING/POLO RALPH LAUREN</t>
  </si>
  <si>
    <t>888000355999</t>
  </si>
  <si>
    <t>AMERICAN LIVING STRAIGHT-LEG CHINO SHORTS WHITE 12</t>
  </si>
  <si>
    <t>888000356170</t>
  </si>
  <si>
    <t>AMERICAN LIVING CHINO BERMUDA SHORTS GARDEN YELLOW 12</t>
  </si>
  <si>
    <t>YELLOW</t>
  </si>
  <si>
    <t>636193158985</t>
  </si>
  <si>
    <t>MAISON JULES LONG-SLEEVE CONTRAST-TRIM HENL OATMEAL HEATHER COMBO M</t>
  </si>
  <si>
    <t>50KF14BOHC</t>
  </si>
  <si>
    <t>636193158992</t>
  </si>
  <si>
    <t>MAISON JULES LONG-SLEEVE CONTRAST-TRIM HENL OATMEAL HEATHER COMBO L</t>
  </si>
  <si>
    <t>704973819910</t>
  </si>
  <si>
    <t>ELEMENTZ TOP, SHORT-SLEEVE COTTON PEASA WHITE M</t>
  </si>
  <si>
    <t>MGAU0291</t>
  </si>
  <si>
    <t>ELEMENTZ/NOTATIONS INC</t>
  </si>
  <si>
    <t>636189682517</t>
  </si>
  <si>
    <t>JM COLLECTION PETITE CUFFED CAPRI SKIMMER PA RADIANT PINK 16P</t>
  </si>
  <si>
    <t>51623RP477</t>
  </si>
  <si>
    <t>DARK PINK</t>
  </si>
  <si>
    <t>636189681398</t>
  </si>
  <si>
    <t>JM COLLECTION PETITE CUFFED CAPRI SKIMMER PA BRIGHT WHITE 12P</t>
  </si>
  <si>
    <t>51623WH477</t>
  </si>
  <si>
    <t>664480118404</t>
  </si>
  <si>
    <t>STYLECO. PETITE STRIPED HIGH-LOW TOP TEALNATURAL PXL</t>
  </si>
  <si>
    <t>20096TN151</t>
  </si>
  <si>
    <t>664480118336</t>
  </si>
  <si>
    <t>STYLECO. PETITE STRIPED HIGH-LOW TOP GOLDEN RAISIN NATURAL PM</t>
  </si>
  <si>
    <t>20096RA151</t>
  </si>
  <si>
    <t>636202163344</t>
  </si>
  <si>
    <t>STYLECO. ANIMAL-PRINT THERMAL COWL-NECK MEDIUM GREY HEATHER S</t>
  </si>
  <si>
    <t>7398MGH697</t>
  </si>
  <si>
    <t>664480118442</t>
  </si>
  <si>
    <t>STYLECO. STRIPED HIGH-LOW TOP GOLDEN RAISINNEUTRAL L</t>
  </si>
  <si>
    <t>20096RA805</t>
  </si>
  <si>
    <t>636193410175</t>
  </si>
  <si>
    <t>STYLECO. DOLMAN-SLEEVE STRIPED-FRONT SW MOUNTAIN BLUE XL</t>
  </si>
  <si>
    <t>34721UE805</t>
  </si>
  <si>
    <t>636193410168</t>
  </si>
  <si>
    <t>STYLECO. DOLMAN-SLEEVE STRIPED-FRONT SW MOUNTAIN BLUE L</t>
  </si>
  <si>
    <t>664480155522</t>
  </si>
  <si>
    <t>STYLECO. JACK-O-LANTERN STRIPED HALLOWE JACKOLANTERNS L</t>
  </si>
  <si>
    <t>20104JK805</t>
  </si>
  <si>
    <t>636193410038</t>
  </si>
  <si>
    <t>STYLECO. DOLMAN-SLEEVE STRIPED-FRONT SW MEDIUM GREY L</t>
  </si>
  <si>
    <t>34721MG805</t>
  </si>
  <si>
    <t>704972877959</t>
  </si>
  <si>
    <t>NY COLLECTION FLORAL-PRINT PENCIL SKIRT RED L</t>
  </si>
  <si>
    <t>XLAK0133</t>
  </si>
  <si>
    <t>636202522974</t>
  </si>
  <si>
    <t>KAREN SCOTT LONG-SLEEVE SNOWFLAKE-SEQUINED CHARCOAL HEATHER XL</t>
  </si>
  <si>
    <t>21035CR155</t>
  </si>
  <si>
    <t>609715735575</t>
  </si>
  <si>
    <t>STYLECO. TUMMY CONTROL BOOTCUT JEANS, B BLACK TINT 4R</t>
  </si>
  <si>
    <t>4</t>
  </si>
  <si>
    <t>STYLE &amp; CO-EDI/JONES DENIM GROUP</t>
  </si>
  <si>
    <t>608356727543</t>
  </si>
  <si>
    <t>KAREN SCOTT PETITE CARGO CAPRI PANTS CLASSIC NAVY 8P</t>
  </si>
  <si>
    <t>4662CNV244</t>
  </si>
  <si>
    <t>KAREN SCOTT P</t>
  </si>
  <si>
    <t>884918671244</t>
  </si>
  <si>
    <t>IDEOLOGY DOLMAN-SLEEVE BURNOUT-PRINT TO MAGIC MAGENTA M</t>
  </si>
  <si>
    <t>74616B250</t>
  </si>
  <si>
    <t>IDEOLOGY</t>
  </si>
  <si>
    <t>IDEOLOGY-MMG/ACTIVEWEAR FASHION</t>
  </si>
  <si>
    <t>704972629459</t>
  </si>
  <si>
    <t>NY COLLECTION SLEEVELESS PRINTED KNOTTED MAX BLUE MULTI M</t>
  </si>
  <si>
    <t>XITD1922</t>
  </si>
  <si>
    <t>704972629442</t>
  </si>
  <si>
    <t>NY COLLECTION SLEEVELESS PRINTED KNOTTED MAX BLUE MULTI S</t>
  </si>
  <si>
    <t>884918615149</t>
  </si>
  <si>
    <t>IDEOLOGY TOP, DOLMAN-SLEEVE OMBRE DIP-D DEEP CHARCOAL M</t>
  </si>
  <si>
    <t>73331C250</t>
  </si>
  <si>
    <t>DARK GRAY</t>
  </si>
  <si>
    <t>884918615163</t>
  </si>
  <si>
    <t>IDEOLOGY TOP, DOLMAN-SLEEVE OMBRE DIP-D DEEP CHARCOAL XL</t>
  </si>
  <si>
    <t>766380524276</t>
  </si>
  <si>
    <t>KAREN SCOTT JACKET, LONG-SLEEVE RIBBED-KNI DEEP BLACK XL</t>
  </si>
  <si>
    <t>2490DBK243</t>
  </si>
  <si>
    <t>608356735296</t>
  </si>
  <si>
    <t>KAREN SCOTT CARGO SKORT STONE WALL 16</t>
  </si>
  <si>
    <t>4661STW243</t>
  </si>
  <si>
    <t>KAREN SCTT MS</t>
  </si>
  <si>
    <t>640217489269</t>
  </si>
  <si>
    <t>CABLE GAUGE BUTTON-TRIM BOAT-NECK TOP BLUE L</t>
  </si>
  <si>
    <t>MC83937</t>
  </si>
  <si>
    <t>608356736378</t>
  </si>
  <si>
    <t>KAREN SCOTT PETITE CARGO SKORT DEEP BLACK 6P</t>
  </si>
  <si>
    <t>4661DBK244</t>
  </si>
  <si>
    <t>6 P</t>
  </si>
  <si>
    <t>636193158190</t>
  </si>
  <si>
    <t>MAISON JULES SLIM-FIT V-NECK SNAIL-PRINT TE SHIFT SAND COMBO L</t>
  </si>
  <si>
    <t>30KF14SSC</t>
  </si>
  <si>
    <t>LT BEIGE</t>
  </si>
  <si>
    <t>636193325523</t>
  </si>
  <si>
    <t>KAREN SCOTT LONG-SLEEVE CABLE-KNIT HENLEY SMOKE GREY XS</t>
  </si>
  <si>
    <t>90004SG243</t>
  </si>
  <si>
    <t>MED GRAY</t>
  </si>
  <si>
    <t>662136920883</t>
  </si>
  <si>
    <t>KAREN SCOTT STUDDED SWEATER SCARF SET CASHMILAN BLACK M</t>
  </si>
  <si>
    <t>90181BC243</t>
  </si>
  <si>
    <t>KAREN SCOTT-EDI/BY DESIGN</t>
  </si>
  <si>
    <t>884918675464</t>
  </si>
  <si>
    <t>IDEOLOGY DOLMAN-SLEEVE LACE BURNOUT TOP CHARCOAL L</t>
  </si>
  <si>
    <t>74710D250</t>
  </si>
  <si>
    <t>636193517485</t>
  </si>
  <si>
    <t>IDEOLOGY TOP, SHORT-SLEEVE SOLID V-NECK ORANGEADE S</t>
  </si>
  <si>
    <t>73240I250</t>
  </si>
  <si>
    <t>ORANGE</t>
  </si>
  <si>
    <t>636193208093</t>
  </si>
  <si>
    <t>KAREN SCOTT CABLE-KNIT CREW-NECK SWEATER SMOKE GREY M</t>
  </si>
  <si>
    <t>90029SG243</t>
  </si>
  <si>
    <t>766380619675</t>
  </si>
  <si>
    <t>STYLECO. PLUS SIZE TOP, THREE-QUARTER-S DEEP BLACK 3X</t>
  </si>
  <si>
    <t>25360DB171</t>
  </si>
  <si>
    <t>766380619651</t>
  </si>
  <si>
    <t>STYLECO. PLUS SIZE TOP, THREE-QUARTER-S DEEP BLACK 1X</t>
  </si>
  <si>
    <t>636193724685</t>
  </si>
  <si>
    <t>KAREN SCOTT PETITE CABLE-KNIT MOCK TURTLEN NEW RED AMORE PXS</t>
  </si>
  <si>
    <t>90016RD244</t>
  </si>
  <si>
    <t>636193726412</t>
  </si>
  <si>
    <t>KAREN SCOTT PETITE CABLE-KNIT TURTLENECK S PURPLE PASSION PS</t>
  </si>
  <si>
    <t>90058PF244</t>
  </si>
  <si>
    <t>636193724784</t>
  </si>
  <si>
    <t>KAREN SCOTT PETITE CABLE-KNIT MOCK TURTLEN PASSION FLOWER PS</t>
  </si>
  <si>
    <t>90016PF244</t>
  </si>
  <si>
    <t>636189819654</t>
  </si>
  <si>
    <t>KAREN SCOTT THREE-QUARTER-SLEEVE PRINTED T PALE GREY M</t>
  </si>
  <si>
    <t>10080PG243</t>
  </si>
  <si>
    <t>LT/PAS GRY</t>
  </si>
  <si>
    <t>847347067491</t>
  </si>
  <si>
    <t>STYLECO. PANTS, SLIM-FIT SIDE-ZIP ANKLE EBONY BLACK 8S</t>
  </si>
  <si>
    <t>52281BK805</t>
  </si>
  <si>
    <t>8 S</t>
  </si>
  <si>
    <t>636189817841</t>
  </si>
  <si>
    <t>KAREN SCOTT THREE-QUARTER-SLEEVE SNAP-FRON CLASSIC NAVY L</t>
  </si>
  <si>
    <t>10055CN243</t>
  </si>
  <si>
    <t>636189916032</t>
  </si>
  <si>
    <t>JM COLLECTION PETITE PRINTED JACQUARD TEE TEAL SUNRISE PS</t>
  </si>
  <si>
    <t>83420TS477</t>
  </si>
  <si>
    <t>636193520423</t>
  </si>
  <si>
    <t>KAREN SCOTT MARLED-KNIT SWEATER TEAL LAKE MARL L</t>
  </si>
  <si>
    <t>90118TL243</t>
  </si>
  <si>
    <t>636189068762</t>
  </si>
  <si>
    <t>KAREN SCOTT CARGO SHORTS STONEWALL 16</t>
  </si>
  <si>
    <t>4738STW243</t>
  </si>
  <si>
    <t>636189579206</t>
  </si>
  <si>
    <t>KAREN SCOTT THREE-QUARTER-SLEEVE STUDDED V BLACK XL</t>
  </si>
  <si>
    <t>10066BK243</t>
  </si>
  <si>
    <t>636193173322</t>
  </si>
  <si>
    <t>KAREN SCOTT PLUS SIZE LONG-SLEEVE FLEECE S CLASSIC NAVY 3X</t>
  </si>
  <si>
    <t>20003CN249</t>
  </si>
  <si>
    <t>766380514444</t>
  </si>
  <si>
    <t>KAREN SCOTT SWEATER, LONG-SLEEVE STRIPED PASSION FLOWER BLACK S</t>
  </si>
  <si>
    <t>2507PAF243</t>
  </si>
  <si>
    <t>662136921712</t>
  </si>
  <si>
    <t>KAREN SCOTT LUXSOFT PETITE EMBELLISHED-NEC RED CHERRY PXL</t>
  </si>
  <si>
    <t>90183RC244</t>
  </si>
  <si>
    <t>MEDIUM RED</t>
  </si>
  <si>
    <t>662136921767</t>
  </si>
  <si>
    <t>KAREN SCOTT LUXSOFT PETITE EMBELLISHED-NEC VICTORIAN PURPLE PXL</t>
  </si>
  <si>
    <t>90183VP244</t>
  </si>
  <si>
    <t>662136921750</t>
  </si>
  <si>
    <t>KAREN SCOTT LUXSOFT PETITE EMBELLISHED-NEC VICTORIAN PURPLE PL</t>
  </si>
  <si>
    <t>662136921613</t>
  </si>
  <si>
    <t>KAREN SCOTT LUXSOFT PETITE EMBELLISHED-NEC HELIPTROPE PXL</t>
  </si>
  <si>
    <t>90183HT244</t>
  </si>
  <si>
    <t>662136921705</t>
  </si>
  <si>
    <t>KAREN SCOTT LUXSOFT PETITE EMBELLISHED-NEC RED CHERRY PL</t>
  </si>
  <si>
    <t>636189646168</t>
  </si>
  <si>
    <t>JM COLLECTION PETITE SHORT-SLEEVE CROCHET-NE MEDIEVAL BLUE PS</t>
  </si>
  <si>
    <t>83024MB477</t>
  </si>
  <si>
    <t>636202152553</t>
  </si>
  <si>
    <t>STYLECO. SHORT-SLEEVE STRIPED TEE BLUEWARM OLIVE XL</t>
  </si>
  <si>
    <t>7121UWO697</t>
  </si>
  <si>
    <t>636189853610</t>
  </si>
  <si>
    <t>KAREN SCOTT PLUS SIZE FLORAL-PRINT HENLEY CASSIS 1X</t>
  </si>
  <si>
    <t>10027CA249</t>
  </si>
  <si>
    <t>636189853849</t>
  </si>
  <si>
    <t>KAREN SCOTT PLUS SIZE FLORAL-PRINT HENLEY CASSIS 3X</t>
  </si>
  <si>
    <t>636193169271</t>
  </si>
  <si>
    <t>KAREN SCOTT PLUS SIZE FLORAL-PRINT HENLEY GARNET 0X</t>
  </si>
  <si>
    <t>10034GR249</t>
  </si>
  <si>
    <t>662136919993</t>
  </si>
  <si>
    <t>KAREN SCOTT PETITE LUXSOFT THREE-QUARTER-S BLACK PL</t>
  </si>
  <si>
    <t>90152BC244</t>
  </si>
  <si>
    <t>662136920005</t>
  </si>
  <si>
    <t>KAREN SCOTT PETITE LUXSOFT THREE-QUARTER-S BLACK PXL</t>
  </si>
  <si>
    <t>662136920241</t>
  </si>
  <si>
    <t>KAREN SCOTT PETITE LUXSOFT LONG-SLEEVE V-N RED CHERRY PL</t>
  </si>
  <si>
    <t>90152RC244</t>
  </si>
  <si>
    <t>662136920302</t>
  </si>
  <si>
    <t>KAREN SCOTT PETITE LUXSOFT THREE-QUARTER-S VICTORIAN PURPLE PXL</t>
  </si>
  <si>
    <t>90152VP244</t>
  </si>
  <si>
    <t>662136920258</t>
  </si>
  <si>
    <t>KAREN SCOTT PETITE LUXSOFT LONG-SLEEVE V-N RED CHERRY PXL</t>
  </si>
  <si>
    <t>608381705134</t>
  </si>
  <si>
    <t>MAISON JULES SHORT-SLEEVE V-NECK TEE PEACOAT M</t>
  </si>
  <si>
    <t>87KS14PEA</t>
  </si>
  <si>
    <t>766370265219</t>
  </si>
  <si>
    <t>KAREN SCOTT TOP, SHORT-SLEEVE BOAT-NECK MOJITO LIME L</t>
  </si>
  <si>
    <t>2090MJL243</t>
  </si>
  <si>
    <t>608356833251</t>
  </si>
  <si>
    <t>KAREN SCOTT SHORT-SLEEVE BOAT-NECK TOP BRIGHT WHITE L</t>
  </si>
  <si>
    <t>2949WHT243</t>
  </si>
  <si>
    <t>636189808238</t>
  </si>
  <si>
    <t>KAREN SCOTT PLUS SIZE THREE-QUARTER-SLEEVE AQUA LAKE 0X</t>
  </si>
  <si>
    <t>10006AL249</t>
  </si>
  <si>
    <t>636189604502</t>
  </si>
  <si>
    <t>KAREN SCOTT PLUS SIZE THREE-QUARTER-SLEEVE CASSIS 0X</t>
  </si>
  <si>
    <t>10006CA249</t>
  </si>
  <si>
    <t>636189604496</t>
  </si>
  <si>
    <t>KAREN SCOTT PLUS SIZE THREE-QUARTER-SLEEVE CASSIS 3X</t>
  </si>
  <si>
    <t>636189586525</t>
  </si>
  <si>
    <t>KAREN SCOTT PETITE THREE-QUARTER-SLEEVE FL GARNET PS</t>
  </si>
  <si>
    <t>10030GR244</t>
  </si>
  <si>
    <t>636189586259</t>
  </si>
  <si>
    <t>KAREN SCOTT PETITE THREE-QUARTER-SLEEVE AN CHESTNUT PS</t>
  </si>
  <si>
    <t>10016CS244</t>
  </si>
  <si>
    <t>636189586495</t>
  </si>
  <si>
    <t>KAREN SCOTT PETITE THREE-QUARTER-SLEEVE FL GARNET PL</t>
  </si>
  <si>
    <t>636202456194</t>
  </si>
  <si>
    <t>KAREN SCOTT THREE-QUARTER-SLEEVE SCOOPNECK HAVANA BLUE XS</t>
  </si>
  <si>
    <t>10000HV243</t>
  </si>
  <si>
    <t>884751611384</t>
  </si>
  <si>
    <t>NIKE LEGENDARY PRINTED CAPRI LEGGIN BLACK S</t>
  </si>
  <si>
    <t>646823649271</t>
  </si>
  <si>
    <t>PIN DOT JAC DRESS</t>
  </si>
  <si>
    <t>KS8K7174</t>
  </si>
  <si>
    <t>39378321301</t>
  </si>
  <si>
    <t>COLORBLOCK SWEATER</t>
  </si>
  <si>
    <t>666805801718</t>
  </si>
  <si>
    <t>ALFRED DUNNER STRIPED LAYERED TOP MULTI XL</t>
  </si>
  <si>
    <t>36562GX</t>
  </si>
  <si>
    <t>666805608171</t>
  </si>
  <si>
    <t>BLACK 3/4 BAROQUE PRT 2FER</t>
  </si>
  <si>
    <t>666805759378</t>
  </si>
  <si>
    <t>FLORAL ANIMAL SWEATER</t>
  </si>
  <si>
    <t>32762GT</t>
  </si>
  <si>
    <t>666805750894</t>
  </si>
  <si>
    <t>OMBRE ANIMAL SWEATER</t>
  </si>
  <si>
    <t>32560GT</t>
  </si>
  <si>
    <t>666805759323</t>
  </si>
  <si>
    <t>OMBRE ANI PR SWEA</t>
  </si>
  <si>
    <t>32760GT</t>
  </si>
  <si>
    <t>XL PETITE</t>
  </si>
  <si>
    <t>700291071566</t>
  </si>
  <si>
    <t>MESH DRESS</t>
  </si>
  <si>
    <t>KS5K4132</t>
  </si>
  <si>
    <t>39378233208</t>
  </si>
  <si>
    <t>TROPIC BANDAGE TOP</t>
  </si>
  <si>
    <t>8874216022</t>
  </si>
  <si>
    <t>FINE OPEN STRIPE PULLOVE</t>
  </si>
  <si>
    <t>8874216046</t>
  </si>
  <si>
    <t>881674783037</t>
  </si>
  <si>
    <t>CONNECT THE DOTS TOP</t>
  </si>
  <si>
    <t>KS9K4014</t>
  </si>
  <si>
    <t>666805700608</t>
  </si>
  <si>
    <t>PRINT SKIRT</t>
  </si>
  <si>
    <t>27720GO</t>
  </si>
  <si>
    <t>666805700592</t>
  </si>
  <si>
    <t>666805700585</t>
  </si>
  <si>
    <t>10 P</t>
  </si>
  <si>
    <t>666805652136</t>
  </si>
  <si>
    <t>IKAT BORDER T SHIRT</t>
  </si>
  <si>
    <t>20756GH</t>
  </si>
  <si>
    <t>636193154550</t>
  </si>
  <si>
    <t>TASSO ELBA MERCERIZED SHORT SLEEVE STRIPE BRICK COMBO M</t>
  </si>
  <si>
    <t>06DF14APCO</t>
  </si>
  <si>
    <t>666805701018</t>
  </si>
  <si>
    <t>BIADERE YOKE PULLOUT T SHIRT</t>
  </si>
  <si>
    <t>27752GO</t>
  </si>
  <si>
    <t>666805698646</t>
  </si>
  <si>
    <t>PARROT T SHIRT</t>
  </si>
  <si>
    <t>25752GM</t>
  </si>
  <si>
    <t>666805690060</t>
  </si>
  <si>
    <t>BEADED YOKE T SHIRT</t>
  </si>
  <si>
    <t>24750GL</t>
  </si>
  <si>
    <t>666805690077</t>
  </si>
  <si>
    <t>766380858562</t>
  </si>
  <si>
    <t>STYLECO. DRESS, SLEEVELESS BELTED PONTE WARM TAUPE 16</t>
  </si>
  <si>
    <t>70876TE805</t>
  </si>
  <si>
    <t>666805758463</t>
  </si>
  <si>
    <t>S/S SOLID W/ LUREX</t>
  </si>
  <si>
    <t>31767GS</t>
  </si>
  <si>
    <t>666805809004</t>
  </si>
  <si>
    <t>CORD PANT - S</t>
  </si>
  <si>
    <t>43500HE</t>
  </si>
  <si>
    <t>18 S</t>
  </si>
  <si>
    <t>666805804153</t>
  </si>
  <si>
    <t>CORD PULL ON PANT - S</t>
  </si>
  <si>
    <t>40500HB</t>
  </si>
  <si>
    <t>666805808946</t>
  </si>
  <si>
    <t>ALFRED DUNNER STRAIGHT-LEG CORDUROY PULL-ON PEARL GREY 18S</t>
  </si>
  <si>
    <t>666805802012</t>
  </si>
  <si>
    <t>PULL ON PANT - S</t>
  </si>
  <si>
    <t>37500GY</t>
  </si>
  <si>
    <t>MEDIUN RED</t>
  </si>
  <si>
    <t>666805849512</t>
  </si>
  <si>
    <t>VELOUR PULL ON - S</t>
  </si>
  <si>
    <t>46500HH</t>
  </si>
  <si>
    <t>666805801367</t>
  </si>
  <si>
    <t>ALFRED DUNNER STRAIGHT-LEG PINSTRIPED PULL-O MULTI 18</t>
  </si>
  <si>
    <t>36503GX</t>
  </si>
  <si>
    <t>666805739578</t>
  </si>
  <si>
    <t>LAKE S PANT</t>
  </si>
  <si>
    <t>31500GS</t>
  </si>
  <si>
    <t>666805799930</t>
  </si>
  <si>
    <t>ALFRED DUNNER FAUX-SUEDE PULL-ON PANTS CELERY 14S</t>
  </si>
  <si>
    <t>35500GW</t>
  </si>
  <si>
    <t>LT/PAS GRN</t>
  </si>
  <si>
    <t>666805799954</t>
  </si>
  <si>
    <t>ALFRED DUNNER FAUX-SUEDE PULL-ON PANTS CELERY 18S</t>
  </si>
  <si>
    <t>666805799947</t>
  </si>
  <si>
    <t>ALFRED DUNNER FAUX-SUEDE PULL-ON PANTS CELERY 16S</t>
  </si>
  <si>
    <t>666805801985</t>
  </si>
  <si>
    <t>666805802036</t>
  </si>
  <si>
    <t>666805801923</t>
  </si>
  <si>
    <t>666805700493</t>
  </si>
  <si>
    <t>CAPRI</t>
  </si>
  <si>
    <t>27702GO</t>
  </si>
  <si>
    <t>666805700370</t>
  </si>
  <si>
    <t>MED PANT</t>
  </si>
  <si>
    <t>27701GO</t>
  </si>
  <si>
    <t>666805652624</t>
  </si>
  <si>
    <t>EMBROIDERED CAPRI</t>
  </si>
  <si>
    <t>19702GG</t>
  </si>
  <si>
    <t>666805649662</t>
  </si>
  <si>
    <t>18702GF</t>
  </si>
  <si>
    <t>LT/PAS ORG</t>
  </si>
  <si>
    <t>666805700325</t>
  </si>
  <si>
    <t>666805649327</t>
  </si>
  <si>
    <t>SHORT PANT</t>
  </si>
  <si>
    <t>18700GF</t>
  </si>
  <si>
    <t>20X4</t>
  </si>
  <si>
    <t>666805800070</t>
  </si>
  <si>
    <t>ALFRED DUNNER FAUX-SUEDE PULL-ON PANTS CELERY 16</t>
  </si>
  <si>
    <t>35501GW</t>
  </si>
  <si>
    <t>16AV/MD/RG</t>
  </si>
  <si>
    <t>666805800032</t>
  </si>
  <si>
    <t>ALFRED DUNNER FAUX-SUEDE PULL-ON PANTS CELERY 8</t>
  </si>
  <si>
    <t>8 AV/MD/RG</t>
  </si>
  <si>
    <t>666805651412</t>
  </si>
  <si>
    <t>20702GH</t>
  </si>
  <si>
    <t>666805651399</t>
  </si>
  <si>
    <t>666805643301</t>
  </si>
  <si>
    <t>12701FZ</t>
  </si>
  <si>
    <t>MED BROWN</t>
  </si>
  <si>
    <t>666805757800</t>
  </si>
  <si>
    <t>31701GS</t>
  </si>
  <si>
    <t>666805800094</t>
  </si>
  <si>
    <t>ALFRED DUNNER FAUX-SUEDE PULL-ON PANTS CELERY 20</t>
  </si>
  <si>
    <t>666805752027</t>
  </si>
  <si>
    <t>PULL ON PANT - M</t>
  </si>
  <si>
    <t>666805799923</t>
  </si>
  <si>
    <t>ALFRED DUNNER FAUX-SUEDE PULL-ON PANTS CELERY 12S</t>
  </si>
  <si>
    <t>884776809391</t>
  </si>
  <si>
    <t>NIKE STRIPE PURE TANK DFFS</t>
  </si>
  <si>
    <t>608381488822</t>
  </si>
  <si>
    <t>STYLECO. RUFFLE-TRIM CARDIGAN DEEP BLACK M</t>
  </si>
  <si>
    <t>34502DB805</t>
  </si>
  <si>
    <t>636206326714</t>
  </si>
  <si>
    <t>WING CLR BTN FRT JKT</t>
  </si>
  <si>
    <t>6759TTL697</t>
  </si>
  <si>
    <t>806256825844</t>
  </si>
  <si>
    <t>STYLECO. JACKET, RUCHED-SLEEVE BLAZER WARM TAUPE S</t>
  </si>
  <si>
    <t>29641WE805</t>
  </si>
  <si>
    <t>636206075582</t>
  </si>
  <si>
    <t>JM COLLECTION PLUS SIZE SWIRL-PRINT FAUX-WRA LAYERED SWIRLS 0X</t>
  </si>
  <si>
    <t>83919LS472</t>
  </si>
  <si>
    <t>JM COL WOMENS</t>
  </si>
  <si>
    <t>806256901968</t>
  </si>
  <si>
    <t>HAMMERED SATEEN SKRT</t>
  </si>
  <si>
    <t>W60248SGRL</t>
  </si>
  <si>
    <t>636202860908</t>
  </si>
  <si>
    <t>STYLECO. MARLED-CABLE-KNIT V-NECK SWEAT DEEP BLACK COMBO L</t>
  </si>
  <si>
    <t>34818DB805</t>
  </si>
  <si>
    <t>636206190995</t>
  </si>
  <si>
    <t>STYLECO. MARLED-CABLE-KNIT V-NECK SWEAT SC RYE COMBO L</t>
  </si>
  <si>
    <t>34818RY805</t>
  </si>
  <si>
    <t>636202860878</t>
  </si>
  <si>
    <t>STYLECO. MARLED-CABLE-KNIT V-NECK SWEAT DEEP BLACK COMBO XS</t>
  </si>
  <si>
    <t>636202490075</t>
  </si>
  <si>
    <t>STYLECO. CAMO VELOUR ZIP-UP HOODIE BLUE CAMO S</t>
  </si>
  <si>
    <t>7562BLC697</t>
  </si>
  <si>
    <t>704972671953</t>
  </si>
  <si>
    <t>SLD GREY BOMBER JCKTR JCKT</t>
  </si>
  <si>
    <t>XPOJ0145</t>
  </si>
  <si>
    <t>888602433262</t>
  </si>
  <si>
    <t>AMERICAN LIVING V-NECK COLORBLOCK SWEATER BLACK MULTI M</t>
  </si>
  <si>
    <t>640217574989</t>
  </si>
  <si>
    <t>L/S COWLNECK HILO HEM</t>
  </si>
  <si>
    <t>MC93799</t>
  </si>
  <si>
    <t>636202860359</t>
  </si>
  <si>
    <t>STYLECO. PATCHWORK FAUX-LEATHER SWEATER GREY COMBO XL</t>
  </si>
  <si>
    <t>34803HT805</t>
  </si>
  <si>
    <t>664480197089</t>
  </si>
  <si>
    <t>STYLECO. BURNOUT VELVET ZIP-UP HOODIE FOREVER KEEPSAKE XL</t>
  </si>
  <si>
    <t>20238FK805</t>
  </si>
  <si>
    <t>791666058152</t>
  </si>
  <si>
    <t>STYLECO. TOP, LONG-SLEEVE COATED FAUX-L BLACK MATTE L</t>
  </si>
  <si>
    <t>29459BM805</t>
  </si>
  <si>
    <t>887368092263</t>
  </si>
  <si>
    <t>BLK PULL ON PONTE LEGGING</t>
  </si>
  <si>
    <t>705967745A</t>
  </si>
  <si>
    <t>700289778248</t>
  </si>
  <si>
    <t>OTTE MJ SLD PLT NK SLVLS</t>
  </si>
  <si>
    <t>S3NCM76A</t>
  </si>
  <si>
    <t>LT/PAS BWN</t>
  </si>
  <si>
    <t>636206398278</t>
  </si>
  <si>
    <t>STYLECO. SNOW-GLOBE METALLIC TOP LET IT SNOW L</t>
  </si>
  <si>
    <t>26004OH805</t>
  </si>
  <si>
    <t>636206398285</t>
  </si>
  <si>
    <t>STYLECO. SNOW-GLOBE METALLIC TOP LET IT SNOW XL</t>
  </si>
  <si>
    <t>704624211773</t>
  </si>
  <si>
    <t>STYLECO. PETITE JEANS, SKINNY-LEG TUMMY NEW RED AMORE 16P</t>
  </si>
  <si>
    <t>884462398031</t>
  </si>
  <si>
    <t>BLAC BND DLMN W/CHIFFON</t>
  </si>
  <si>
    <t>J2F206281M</t>
  </si>
  <si>
    <t>884462399526</t>
  </si>
  <si>
    <t>OCEA CRSCROS CHIFFN DLMN</t>
  </si>
  <si>
    <t>884918769439</t>
  </si>
  <si>
    <t>STYLECO. SNOWFLAKE EMBELLISHED SWEATSHI BLUE COMBO M</t>
  </si>
  <si>
    <t>7684BLC697</t>
  </si>
  <si>
    <t>884918606703</t>
  </si>
  <si>
    <t>STYLECO. LACE BLOUSON HENLEY PINK PINATA L</t>
  </si>
  <si>
    <t>22213PP805</t>
  </si>
  <si>
    <t>636206260292</t>
  </si>
  <si>
    <t>STYLECO. ANIMAL-PRINT TUNIC SWEATER DEEP BLACKWINTER WHITE XL</t>
  </si>
  <si>
    <t>34892DB805</t>
  </si>
  <si>
    <t>766380689395</t>
  </si>
  <si>
    <t>JM COLLECTION SWEATER, LONG-SLEEVE TEXTURED- EGGSHELL L</t>
  </si>
  <si>
    <t>90484IV460</t>
  </si>
  <si>
    <t>884918762546</t>
  </si>
  <si>
    <t>STYLECO. ROLL-TAB-SLEEVE CITY-PRINT TOP NIGHT OUT XL</t>
  </si>
  <si>
    <t>22469NO805</t>
  </si>
  <si>
    <t>636206644900</t>
  </si>
  <si>
    <t>STYLECO. BLING LUREX PULLOVER WINTER WHITE XL</t>
  </si>
  <si>
    <t>7580WWH697</t>
  </si>
  <si>
    <t>704971777359</t>
  </si>
  <si>
    <t>CUPCAKE W/POTENZA INSET</t>
  </si>
  <si>
    <t>MHAF0130</t>
  </si>
  <si>
    <t>636202251621</t>
  </si>
  <si>
    <t>STYLECO. SHAWL-COLLAR LACE-UP TUNIC SWE RYE XL</t>
  </si>
  <si>
    <t>34660RY805</t>
  </si>
  <si>
    <t>636202993071</t>
  </si>
  <si>
    <t>STYLECO. CABLE-KNIT HANDKERCHIEF-HEM SW NEW RED AMORE S</t>
  </si>
  <si>
    <t>34807NR805</t>
  </si>
  <si>
    <t>WINE</t>
  </si>
  <si>
    <t>704972366545</t>
  </si>
  <si>
    <t>BLK/WHITE TEXTURE 2FER</t>
  </si>
  <si>
    <t>WBTF0219</t>
  </si>
  <si>
    <t>704972688197</t>
  </si>
  <si>
    <t>COAS COMBO RGLN L/S PULLO</t>
  </si>
  <si>
    <t>XPOU0446</t>
  </si>
  <si>
    <t>704972688203</t>
  </si>
  <si>
    <t>640217573616</t>
  </si>
  <si>
    <t>ELBW SLV TWIST TOP</t>
  </si>
  <si>
    <t>MC97114</t>
  </si>
  <si>
    <t>704972901920</t>
  </si>
  <si>
    <t>SOLID GOLD SOFT PANT</t>
  </si>
  <si>
    <t>XBDP0104</t>
  </si>
  <si>
    <t>GOLD</t>
  </si>
  <si>
    <t>766380211534</t>
  </si>
  <si>
    <t>RYLE BRZE S/L SLD SCPNK DRESS</t>
  </si>
  <si>
    <t>82279RY460</t>
  </si>
  <si>
    <t>636189685723</t>
  </si>
  <si>
    <t>SL WOVEN BACK SHIRT</t>
  </si>
  <si>
    <t>25680ST805</t>
  </si>
  <si>
    <t>636202880753</t>
  </si>
  <si>
    <t>STYLECO. CARGO CAPRI PANTS NEW RED AMORE 8</t>
  </si>
  <si>
    <t>53190NR805</t>
  </si>
  <si>
    <t>849422018305</t>
  </si>
  <si>
    <t>BLAC ASYMMETRICAL SKIRT</t>
  </si>
  <si>
    <t>IS6089</t>
  </si>
  <si>
    <t>CLSFCTN ITEMS</t>
  </si>
  <si>
    <t>PATTY PARK AGENCY LLC</t>
  </si>
  <si>
    <t>29408256024</t>
  </si>
  <si>
    <t>ALFRED DUNNER SKIRT, DENIM PENCIL DENIM 16</t>
  </si>
  <si>
    <t>29408256017</t>
  </si>
  <si>
    <t>ALFRED DUNNER SKIRT, DENIM PENCIL DENIM 14</t>
  </si>
  <si>
    <t>14</t>
  </si>
  <si>
    <t>884751018343</t>
  </si>
  <si>
    <t>NIKE PRO V-NECK DRI-FIT TEE FUCHSIA FORCE M</t>
  </si>
  <si>
    <t>812434027023</t>
  </si>
  <si>
    <t>STYLECO. PANTS, TUMMY-CONTROL ACTIVE YO BLACK L</t>
  </si>
  <si>
    <t>6902BLA697</t>
  </si>
  <si>
    <t>STYLE &amp; CO SPORT-EDI/AXIOM APPAREL</t>
  </si>
  <si>
    <t>884640249643</t>
  </si>
  <si>
    <t>3/4SVL SCP BRDG HEM</t>
  </si>
  <si>
    <t>29811SL151</t>
  </si>
  <si>
    <t>636202169988</t>
  </si>
  <si>
    <t>STYLECO. CABLE-KNIT FRONT-SLIT SWEATER CHARCOAL S</t>
  </si>
  <si>
    <t>34649HT805</t>
  </si>
  <si>
    <t>636202073421</t>
  </si>
  <si>
    <t>STYLECO. STRIPED BANDED-HEM SWEATER REDBLACK XL</t>
  </si>
  <si>
    <t>34780NR805</t>
  </si>
  <si>
    <t>636202170441</t>
  </si>
  <si>
    <t>L/S CABLE P/O</t>
  </si>
  <si>
    <t>34649NR805</t>
  </si>
  <si>
    <t>636202073377</t>
  </si>
  <si>
    <t>STYLECO. STRIPED BANDED-HEM SWEATER TEALBLACK XL</t>
  </si>
  <si>
    <t>34780EN805</t>
  </si>
  <si>
    <t>636202073360</t>
  </si>
  <si>
    <t>STYLECO. STRIPED BANDED-HEM SWEATER TEALBLACK L</t>
  </si>
  <si>
    <t>636202073414</t>
  </si>
  <si>
    <t>STYLECO. STRIPED BANDED-HEM SWEATER REDBLACK L</t>
  </si>
  <si>
    <t>636202073391</t>
  </si>
  <si>
    <t>STYLECO. STRIPED BANDED-HEM SWEATER REDBLACK S</t>
  </si>
  <si>
    <t>636202076729</t>
  </si>
  <si>
    <t>STYLECO. COLORBLOCK BANDED-HEM SWEATER NEW RED AMORE S</t>
  </si>
  <si>
    <t>34783NR805</t>
  </si>
  <si>
    <t>636202073346</t>
  </si>
  <si>
    <t>STYLECO. STRIPED BANDED-HEM SWEATER TEALBLACK S</t>
  </si>
  <si>
    <t>636202076798</t>
  </si>
  <si>
    <t>STYLECO. COLORBLOCK BANDED-HEM SWEATER NEW RED AMORE M</t>
  </si>
  <si>
    <t>636202073407</t>
  </si>
  <si>
    <t>STYLECO. STRIPED BANDED-HEM SWEATER REDBLACK M</t>
  </si>
  <si>
    <t>636202072448</t>
  </si>
  <si>
    <t>STYLECO. COLORBLOCK BANDED SWEATER NEW RED AMORE S</t>
  </si>
  <si>
    <t>34712NR805</t>
  </si>
  <si>
    <t>636202075937</t>
  </si>
  <si>
    <t>STYLECO. COLORBLOCK BANDED-HEM SWEATER CHARCOAL HEATHER L</t>
  </si>
  <si>
    <t>34783HT805</t>
  </si>
  <si>
    <t>704972617197</t>
  </si>
  <si>
    <t>3/4 KEYHOLE PEASANT</t>
  </si>
  <si>
    <t>MITU2676</t>
  </si>
  <si>
    <t>636193321648</t>
  </si>
  <si>
    <t>48104SL240</t>
  </si>
  <si>
    <t>90006CS243</t>
  </si>
  <si>
    <t>609588788869</t>
  </si>
  <si>
    <t>PAT TOP PRINT WOVEN SLV/</t>
  </si>
  <si>
    <t>043134C</t>
  </si>
  <si>
    <t>636193310260</t>
  </si>
  <si>
    <t>1X1 RAGLAN SL W HRDW</t>
  </si>
  <si>
    <t>90045CS243</t>
  </si>
  <si>
    <t>636193202282</t>
  </si>
  <si>
    <t>FLOCK DOT RAGLAN T</t>
  </si>
  <si>
    <t>29KF14PCO</t>
  </si>
  <si>
    <t>618388464019</t>
  </si>
  <si>
    <t>BLKFLRL SS HILOW BXY TOP</t>
  </si>
  <si>
    <t>M7818677J</t>
  </si>
  <si>
    <t>JOHN PAUL RICHARD INC</t>
  </si>
  <si>
    <t>636202524633</t>
  </si>
  <si>
    <t>KAREN SCOTT LONG-SLEEVE CREW-NECK CARDIGAN SAFFRON GOLD XL</t>
  </si>
  <si>
    <t>90015SF243</t>
  </si>
  <si>
    <t>636202486245</t>
  </si>
  <si>
    <t>STYLECO. VELOUR EMBELLISHED-POCKET SWEA BLACK XL</t>
  </si>
  <si>
    <t>7652DBK697</t>
  </si>
  <si>
    <t>636206787522</t>
  </si>
  <si>
    <t>STYLECO. BOOTCUT-LEG ACTIVE VELOUR PANT PRUSSIAN RED XL</t>
  </si>
  <si>
    <t>7650PRD697</t>
  </si>
  <si>
    <t>636193287937</t>
  </si>
  <si>
    <t>LUREX STRIPE CRW NK</t>
  </si>
  <si>
    <t>90133CR243</t>
  </si>
  <si>
    <t>662136307547</t>
  </si>
  <si>
    <t>STYLECO. SWEATER, SHORT-SLEEVE RUCHED T COUTURE BERRY L</t>
  </si>
  <si>
    <t>33591CB805</t>
  </si>
  <si>
    <t>636193289412</t>
  </si>
  <si>
    <t>KAREN SCOTT RIBBED MOCK TURTLENECK SWEATER CLASSIC NAVY L</t>
  </si>
  <si>
    <t>90179CB243</t>
  </si>
  <si>
    <t>636193556248</t>
  </si>
  <si>
    <t>3/4 FLNG VIN FLK SCP</t>
  </si>
  <si>
    <t>10093SG243</t>
  </si>
  <si>
    <t>887650218494</t>
  </si>
  <si>
    <t>JM COLLECTION SLEEVELESS METALLIC SHELL CHAMPAGNE XL</t>
  </si>
  <si>
    <t>82718CL460</t>
  </si>
  <si>
    <t>636189860250</t>
  </si>
  <si>
    <t>INC INTERNATIONAL CONCEPTS MEN THE NEW BASICS FLAT-FRONT BLACK 30X30</t>
  </si>
  <si>
    <t>10085BA243</t>
  </si>
  <si>
    <t>636189528471</t>
  </si>
  <si>
    <t>CHAMBRY SOLID SHIRT</t>
  </si>
  <si>
    <t>4770CMB244</t>
  </si>
  <si>
    <t>636189528563</t>
  </si>
  <si>
    <t>766380947952</t>
  </si>
  <si>
    <t>TT MARL 1/4 ZIP MK</t>
  </si>
  <si>
    <t>4541HVB243</t>
  </si>
  <si>
    <t>636189072103</t>
  </si>
  <si>
    <t>LACE CARGO SHORT</t>
  </si>
  <si>
    <t>4795STW243</t>
  </si>
  <si>
    <t>636193494946</t>
  </si>
  <si>
    <t>KAREN SCOTT CABLE-KNIT SWEATER NEW RED AMORE M</t>
  </si>
  <si>
    <t>90115RD243</t>
  </si>
  <si>
    <t>608381818100</t>
  </si>
  <si>
    <t>34 BUTTON FRONT KHAKI M</t>
  </si>
  <si>
    <t>25360KH805</t>
  </si>
  <si>
    <t>689439231089</t>
  </si>
  <si>
    <t>KAREN SCOTT THREE-QUARTER-SLEEVE BOAT-NECK PINK FLIRT S</t>
  </si>
  <si>
    <t>10349PN243</t>
  </si>
  <si>
    <t>BRGHT PINK</t>
  </si>
  <si>
    <t>636202395332</t>
  </si>
  <si>
    <t>LS JEWLD SNWFLKE SCP</t>
  </si>
  <si>
    <t>10231BK243</t>
  </si>
  <si>
    <t>636193207898</t>
  </si>
  <si>
    <t>KAREN SCOTT MARLED-KNIT TURTLENECK SWEATER NAVY MARL M</t>
  </si>
  <si>
    <t>90135CB243</t>
  </si>
  <si>
    <t>884918734437</t>
  </si>
  <si>
    <t>FLECK SCPNK RCH EDV</t>
  </si>
  <si>
    <t>22382SN805</t>
  </si>
  <si>
    <t>636193821766</t>
  </si>
  <si>
    <t>6100GRY557</t>
  </si>
  <si>
    <t>10129SF249</t>
  </si>
  <si>
    <t>662136924317</t>
  </si>
  <si>
    <t>KAREN SCOTT LONG-SLEEVE MOCK TURTLENECK SW MEDIUM GREY HEATHER M</t>
  </si>
  <si>
    <t>90157MM243</t>
  </si>
  <si>
    <t>636189776131</t>
  </si>
  <si>
    <t>LS SLD BUTN HENLEY</t>
  </si>
  <si>
    <t>10007DP243</t>
  </si>
  <si>
    <t/>
  </si>
</sst>
</file>

<file path=xl/styles.xml><?xml version="1.0" encoding="utf-8"?>
<styleSheet xmlns="http://schemas.openxmlformats.org/spreadsheetml/2006/main">
  <numFmts count="1">
    <numFmt numFmtId="8" formatCode="&quot;$&quot;#,##0.00_);[Red]\(&quot;$&quot;#,##0.00\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rgb="FF0000FF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Border="1"/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1" fontId="19" fillId="0" borderId="0" xfId="0" applyNumberFormat="1" applyFont="1" applyAlignment="1">
      <alignment wrapText="1"/>
    </xf>
    <xf numFmtId="1" fontId="19" fillId="0" borderId="0" xfId="0" applyNumberFormat="1" applyFont="1" applyAlignment="1">
      <alignment horizontal="center" wrapText="1"/>
    </xf>
    <xf numFmtId="8" fontId="19" fillId="0" borderId="0" xfId="0" applyNumberFormat="1" applyFont="1" applyAlignment="1">
      <alignment wrapText="1"/>
    </xf>
    <xf numFmtId="8" fontId="19" fillId="0" borderId="0" xfId="0" applyNumberFormat="1" applyFont="1" applyAlignment="1">
      <alignment horizontal="center" wrapText="1"/>
    </xf>
    <xf numFmtId="2" fontId="19" fillId="0" borderId="0" xfId="0" applyNumberFormat="1" applyFont="1" applyAlignment="1">
      <alignment horizontal="center" wrapText="1"/>
    </xf>
    <xf numFmtId="49" fontId="19" fillId="0" borderId="0" xfId="0" applyNumberFormat="1" applyFont="1" applyAlignment="1">
      <alignment wrapText="1"/>
    </xf>
    <xf numFmtId="8" fontId="19" fillId="0" borderId="0" xfId="0" applyNumberFormat="1" applyFont="1" applyAlignment="1">
      <alignment horizontal="right" wrapText="1"/>
    </xf>
    <xf numFmtId="49" fontId="19" fillId="0" borderId="0" xfId="0" applyNumberFormat="1" applyFont="1" applyAlignment="1">
      <alignment horizontal="center"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8" fontId="22" fillId="0" borderId="0" xfId="0" applyNumberFormat="1" applyFont="1" applyAlignment="1">
      <alignment horizontal="center" wrapText="1"/>
    </xf>
    <xf numFmtId="1" fontId="22" fillId="0" borderId="0" xfId="0" applyNumberFormat="1" applyFont="1" applyAlignment="1">
      <alignment wrapText="1"/>
    </xf>
    <xf numFmtId="8" fontId="22" fillId="0" borderId="0" xfId="0" applyNumberFormat="1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P377"/>
  <sheetViews>
    <sheetView tabSelected="1" workbookViewId="0">
      <selection activeCell="K9" sqref="K9:L377"/>
    </sheetView>
  </sheetViews>
  <sheetFormatPr defaultRowHeight="15"/>
  <cols>
    <col min="1" max="1" customWidth="true" width="14.28515625" collapsed="false"/>
    <col min="2" max="2" customWidth="true" width="49.7109375" collapsed="false"/>
    <col min="3" max="3" customWidth="true" width="15.0" collapsed="false"/>
    <col min="4" max="5" customWidth="true" width="10.85546875" collapsed="false"/>
    <col min="6" max="7" customWidth="true" width="10.28515625" collapsed="false"/>
    <col min="8" max="8" customWidth="true" width="12.5703125" collapsed="false"/>
    <col min="9" max="10" customWidth="true" width="11.42578125" collapsed="false"/>
    <col min="11" max="11" customWidth="true" width="10.85546875" collapsed="false"/>
    <col min="12" max="12" customWidth="true" width="8.5703125" collapsed="false"/>
    <col min="13" max="13" customWidth="true" width="6.42578125" collapsed="false"/>
    <col min="14" max="14" customWidth="true" width="12.140625" collapsed="false"/>
    <col min="15" max="15" bestFit="true" customWidth="true" width="36.5703125" collapsed="false"/>
    <col min="16" max="16" customWidth="true" width="64.28515625" collapsed="false"/>
  </cols>
  <sheetData>
    <row r="1" spans="1:16" s="1" customFormat="1"/>
    <row r="2" spans="1:16" ht="48">
      <c r="A2" s="2" t="s">
        <v>1</v>
      </c>
      <c r="B2" s="2" t="s">
        <v>3</v>
      </c>
      <c r="C2" s="2" t="s">
        <v>4</v>
      </c>
      <c r="D2" s="2" t="s">
        <v>8</v>
      </c>
      <c r="E2" s="13" t="s">
        <v>9</v>
      </c>
      <c r="F2" s="13" t="s">
        <v>10</v>
      </c>
      <c r="G2" s="13" t="s">
        <v>11</v>
      </c>
    </row>
    <row r="3" spans="1:16" ht="48.75">
      <c r="A3" s="4" t="n">
        <v>7988049.0</v>
      </c>
      <c r="B3" s="14" t="s">
        <v>13</v>
      </c>
      <c r="C3" s="16" t="s">
        <v>14</v>
      </c>
      <c r="D3" s="6" t="n">
        <v>17369.45</v>
      </c>
      <c r="E3" s="14" t="n">
        <v>407.0</v>
      </c>
      <c r="F3" s="15" t="n">
        <v>2129.0645</v>
      </c>
      <c r="G3" s="15" t="n">
        <v>5.2235000000000005</v>
      </c>
    </row>
    <row r="4" spans="1:16">
      <c r="A4" s="4" t="s">
        <v>1196</v>
      </c>
      <c r="B4" s="3" t="s">
        <v>1196</v>
      </c>
      <c r="C4" s="4" t="s">
        <v>15</v>
      </c>
      <c r="D4" s="6" t="n">
        <v>17369.45</v>
      </c>
      <c r="E4" s="3" t="n">
        <v>407.0</v>
      </c>
      <c r="F4" s="7" t="n">
        <v>2129.0645</v>
      </c>
      <c r="G4" s="7" t="n">
        <v>5.2235000000000005</v>
      </c>
    </row>
    <row r="5" spans="1:16" s="1" customFormat="1"/>
    <row r="6" spans="1:16" ht="24">
      <c r="A6" t="s" s="2">
        <v>21</v>
      </c>
      <c r="B6" t="s" s="2">
        <v>22</v>
      </c>
      <c r="C6" t="s" s="2">
        <v>23</v>
      </c>
      <c r="D6" t="s" s="2">
        <v>19</v>
      </c>
      <c r="E6" t="s" s="2">
        <v>7</v>
      </c>
      <c r="F6" t="s" s="2">
        <v>24</v>
      </c>
      <c r="G6" t="s" s="2">
        <v>8</v>
      </c>
      <c r="H6" t="s" s="2">
        <v>25</v>
      </c>
      <c r="I6" t="s" s="2">
        <v>26</v>
      </c>
      <c r="J6" t="s" s="2">
        <v>27</v>
      </c>
      <c r="K6" t="s" s="13">
        <v>18</v>
      </c>
      <c r="L6" t="s" s="13">
        <v>10</v>
      </c>
      <c r="M6" t="s" s="2">
        <v>16</v>
      </c>
      <c r="N6" t="s" s="2">
        <v>28</v>
      </c>
      <c r="O6" t="s" s="2">
        <v>29</v>
      </c>
      <c r="P6" t="s" s="2">
        <v>30</v>
      </c>
    </row>
    <row r="7" spans="1:16">
      <c r="A7" t="s" s="9">
        <v>31</v>
      </c>
      <c r="B7" t="s" s="3">
        <v>32</v>
      </c>
      <c r="C7" t="n" s="5">
        <v>1.0</v>
      </c>
      <c r="D7" t="n" s="6">
        <v>108.38</v>
      </c>
      <c r="E7" t="n" s="6">
        <v>108.38</v>
      </c>
      <c r="F7" t="n" s="10">
        <v>289.0</v>
      </c>
      <c r="G7" t="n" s="6">
        <v>289.0</v>
      </c>
      <c r="H7" t="s" s="5">
        <v>33</v>
      </c>
      <c r="I7" t="s" s="3">
        <v>34</v>
      </c>
      <c r="J7" t="s" s="11">
        <v>35</v>
      </c>
      <c r="K7" t="n" s="17">
        <v>33.5978</v>
      </c>
      <c r="L7" t="n" s="17">
        <v>33.5978</v>
      </c>
      <c r="M7" t="s" s="3">
        <v>20</v>
      </c>
      <c r="N7" t="s" s="3">
        <v>36</v>
      </c>
      <c r="O7" t="s" s="3">
        <v>37</v>
      </c>
      <c r="P7" t="s" s="12">
        <f>HYPERLINK("http://slimages.macys.com/is/image/MCY/1711779 ")</f>
      </c>
    </row>
    <row r="8" spans="1:16" s="1" customFormat="1">
      <c r="A8" t="s" s="9">
        <v>38</v>
      </c>
      <c r="B8" t="s" s="3">
        <v>39</v>
      </c>
      <c r="C8" t="n" s="5">
        <v>2.0</v>
      </c>
      <c r="D8" t="n" s="6">
        <v>89.55</v>
      </c>
      <c r="E8" t="n" s="6">
        <v>179.1</v>
      </c>
      <c r="F8" t="n" s="10">
        <v>199.0</v>
      </c>
      <c r="G8" t="n" s="6">
        <v>398.0</v>
      </c>
      <c r="H8" t="s" s="5">
        <v>40</v>
      </c>
      <c r="I8" t="s" s="3">
        <v>34</v>
      </c>
      <c r="J8" t="s" s="11">
        <v>35</v>
      </c>
      <c r="K8" t="n" s="17">
        <v>27.7605</v>
      </c>
      <c r="L8" t="n" s="17">
        <v>55.521</v>
      </c>
      <c r="M8" t="s" s="3">
        <v>20</v>
      </c>
      <c r="N8" t="s" s="3">
        <v>36</v>
      </c>
      <c r="O8" t="s" s="3">
        <v>37</v>
      </c>
      <c r="P8" t="s" s="12">
        <f>HYPERLINK("http://slimages.macys.com/is/image/MCY/1712029 ")</f>
      </c>
    </row>
    <row r="9" spans="1:16" ht="36">
      <c r="A9" s="9" t="s">
        <v>41</v>
      </c>
      <c r="B9" s="3" t="s">
        <v>42</v>
      </c>
      <c r="C9" s="5" t="n">
        <v>1.0</v>
      </c>
      <c r="D9" s="6" t="n">
        <v>67.05</v>
      </c>
      <c r="E9" s="6" t="n">
        <v>67.05</v>
      </c>
      <c r="F9" s="10" t="n">
        <v>149.0</v>
      </c>
      <c r="G9" s="6" t="n">
        <v>149.0</v>
      </c>
      <c r="H9" s="5" t="s">
        <v>43</v>
      </c>
      <c r="I9" s="3" t="s">
        <v>44</v>
      </c>
      <c r="J9" s="11" t="s">
        <v>45</v>
      </c>
      <c r="K9" s="17" t="n">
        <v>20.785500000000003</v>
      </c>
      <c r="L9" s="17" t="n">
        <v>20.785500000000003</v>
      </c>
      <c r="M9" s="3" t="s">
        <v>20</v>
      </c>
      <c r="N9" s="3" t="s">
        <v>36</v>
      </c>
      <c r="O9" s="3" t="s">
        <v>37</v>
      </c>
      <c r="P9" s="12" t="s">
        <f>HYPERLINK("http://slimages.macys.com/is/image/MCY/1982567 ")</f>
      </c>
    </row>
    <row r="10" spans="1:16" ht="24.75">
      <c r="A10" s="9" t="s">
        <v>46</v>
      </c>
      <c r="B10" s="3" t="s">
        <v>47</v>
      </c>
      <c r="C10" s="5" t="n">
        <v>1.0</v>
      </c>
      <c r="D10" s="6" t="n">
        <v>53.0</v>
      </c>
      <c r="E10" s="6" t="n">
        <v>53.0</v>
      </c>
      <c r="F10" s="10" t="n">
        <v>134.0</v>
      </c>
      <c r="G10" s="6" t="n">
        <v>134.0</v>
      </c>
      <c r="H10" s="5" t="s">
        <v>48</v>
      </c>
      <c r="I10" s="3" t="s">
        <v>49</v>
      </c>
      <c r="J10" s="11" t="s">
        <v>50</v>
      </c>
      <c r="K10" s="17" t="n">
        <v>16.43</v>
      </c>
      <c r="L10" s="17" t="n">
        <v>16.43</v>
      </c>
      <c r="M10" s="3" t="s">
        <v>20</v>
      </c>
      <c r="N10" s="3" t="s">
        <v>51</v>
      </c>
      <c r="O10" s="3" t="s">
        <v>52</v>
      </c>
      <c r="P10" s="12" t="str">
        <f>HYPERLINK("http://slimages.macys.com/is/image/MCY/2165864 ")</f>
      </c>
    </row>
    <row r="11" spans="1:16" ht="24.75">
      <c r="A11" s="9" t="s">
        <v>53</v>
      </c>
      <c r="B11" s="3" t="s">
        <v>54</v>
      </c>
      <c r="C11" s="5" t="n">
        <v>1.0</v>
      </c>
      <c r="D11" s="6" t="n">
        <v>48.37</v>
      </c>
      <c r="E11" s="6" t="n">
        <v>48.37</v>
      </c>
      <c r="F11" s="10" t="n">
        <v>129.0</v>
      </c>
      <c r="G11" s="6" t="n">
        <v>129.0</v>
      </c>
      <c r="H11" s="5" t="s">
        <v>55</v>
      </c>
      <c r="I11" s="3" t="s">
        <v>56</v>
      </c>
      <c r="J11" s="11" t="s">
        <v>57</v>
      </c>
      <c r="K11" s="17" t="n">
        <v>14.9947</v>
      </c>
      <c r="L11" s="17" t="n">
        <v>14.9947</v>
      </c>
      <c r="M11" s="3" t="s">
        <v>20</v>
      </c>
      <c r="N11" s="3" t="s">
        <v>58</v>
      </c>
      <c r="O11" s="3" t="s">
        <v>52</v>
      </c>
      <c r="P11" s="12" t="str">
        <f>HYPERLINK("http://slimages.macys.com/is/image/MCY/2035970 ")</f>
      </c>
    </row>
    <row r="12" spans="1:16" ht="24.75">
      <c r="A12" s="9" t="s">
        <v>59</v>
      </c>
      <c r="B12" s="3" t="s">
        <v>60</v>
      </c>
      <c r="C12" s="5" t="n">
        <v>1.0</v>
      </c>
      <c r="D12" s="6" t="n">
        <v>48.37</v>
      </c>
      <c r="E12" s="6" t="n">
        <v>48.37</v>
      </c>
      <c r="F12" s="10" t="n">
        <v>129.0</v>
      </c>
      <c r="G12" s="6" t="n">
        <v>129.0</v>
      </c>
      <c r="H12" s="5" t="n">
        <v>9134936.0</v>
      </c>
      <c r="I12" s="3" t="s">
        <v>34</v>
      </c>
      <c r="J12" s="11" t="s">
        <v>61</v>
      </c>
      <c r="K12" s="17" t="n">
        <v>14.9947</v>
      </c>
      <c r="L12" s="17" t="n">
        <v>14.9947</v>
      </c>
      <c r="M12" s="3" t="s">
        <v>20</v>
      </c>
      <c r="N12" s="3" t="s">
        <v>62</v>
      </c>
      <c r="O12" s="3" t="s">
        <v>63</v>
      </c>
      <c r="P12" s="12" t="str">
        <f>HYPERLINK("http://images.bloomingdales.com/is/image/BLM/8557032 ")</f>
      </c>
    </row>
    <row r="13" spans="1:16" ht="24.75">
      <c r="A13" s="9" t="s">
        <v>64</v>
      </c>
      <c r="B13" s="3" t="s">
        <v>65</v>
      </c>
      <c r="C13" s="5" t="n">
        <v>1.0</v>
      </c>
      <c r="D13" s="6" t="n">
        <v>45.15</v>
      </c>
      <c r="E13" s="6" t="n">
        <v>45.15</v>
      </c>
      <c r="F13" s="10" t="n">
        <v>129.0</v>
      </c>
      <c r="G13" s="6" t="n">
        <v>129.0</v>
      </c>
      <c r="H13" s="5" t="n">
        <v>1.0517806E7</v>
      </c>
      <c r="I13" s="3" t="s">
        <v>66</v>
      </c>
      <c r="J13" s="11" t="s">
        <v>35</v>
      </c>
      <c r="K13" s="17" t="n">
        <v>13.9965</v>
      </c>
      <c r="L13" s="17" t="n">
        <v>13.9965</v>
      </c>
      <c r="M13" s="3" t="s">
        <v>20</v>
      </c>
      <c r="N13" s="3" t="s">
        <v>67</v>
      </c>
      <c r="O13" s="3" t="s">
        <v>68</v>
      </c>
      <c r="P13" s="12" t="str">
        <f>HYPERLINK("http://slimages.macys.com/is/image/MCY/2143996 ")</f>
      </c>
    </row>
    <row r="14" spans="1:16" ht="24.75">
      <c r="A14" s="9" t="s">
        <v>69</v>
      </c>
      <c r="B14" s="3" t="s">
        <v>70</v>
      </c>
      <c r="C14" s="5" t="n">
        <v>1.0</v>
      </c>
      <c r="D14" s="6" t="n">
        <v>41.65</v>
      </c>
      <c r="E14" s="6" t="n">
        <v>41.65</v>
      </c>
      <c r="F14" s="10" t="n">
        <v>119.0</v>
      </c>
      <c r="G14" s="6" t="n">
        <v>119.0</v>
      </c>
      <c r="H14" s="5" t="n">
        <v>1.0531474E7</v>
      </c>
      <c r="I14" s="3" t="s">
        <v>71</v>
      </c>
      <c r="J14" s="11" t="s">
        <v>72</v>
      </c>
      <c r="K14" s="17" t="n">
        <v>12.9115</v>
      </c>
      <c r="L14" s="17" t="n">
        <v>12.9115</v>
      </c>
      <c r="M14" s="3" t="s">
        <v>20</v>
      </c>
      <c r="N14" s="3" t="s">
        <v>67</v>
      </c>
      <c r="O14" s="3" t="s">
        <v>68</v>
      </c>
      <c r="P14" s="12" t="str">
        <f>HYPERLINK("http://slimages.macys.com/is/image/MCY/1903853 ")</f>
      </c>
    </row>
    <row r="15" spans="1:16" ht="24.75">
      <c r="A15" s="9" t="s">
        <v>73</v>
      </c>
      <c r="B15" s="3" t="s">
        <v>74</v>
      </c>
      <c r="C15" s="5" t="n">
        <v>1.0</v>
      </c>
      <c r="D15" s="6" t="n">
        <v>34.65</v>
      </c>
      <c r="E15" s="6" t="n">
        <v>34.65</v>
      </c>
      <c r="F15" s="10" t="n">
        <v>99.0</v>
      </c>
      <c r="G15" s="6" t="n">
        <v>99.0</v>
      </c>
      <c r="H15" s="5" t="n">
        <v>1.0519362E7</v>
      </c>
      <c r="I15" s="3" t="s">
        <v>75</v>
      </c>
      <c r="J15" s="11" t="s">
        <v>76</v>
      </c>
      <c r="K15" s="17" t="n">
        <v>10.7415</v>
      </c>
      <c r="L15" s="17" t="n">
        <v>10.7415</v>
      </c>
      <c r="M15" s="3" t="s">
        <v>20</v>
      </c>
      <c r="N15" s="3" t="s">
        <v>67</v>
      </c>
      <c r="O15" s="3" t="s">
        <v>68</v>
      </c>
      <c r="P15" s="12" t="str">
        <f>HYPERLINK("http://slimages.macys.com/is/image/MCY/2243313 ")</f>
      </c>
    </row>
    <row r="16" spans="1:16" ht="24.75">
      <c r="A16" s="9" t="s">
        <v>77</v>
      </c>
      <c r="B16" s="3" t="s">
        <v>78</v>
      </c>
      <c r="C16" s="5" t="n">
        <v>1.0</v>
      </c>
      <c r="D16" s="6" t="n">
        <v>31.5</v>
      </c>
      <c r="E16" s="6" t="n">
        <v>31.5</v>
      </c>
      <c r="F16" s="10" t="n">
        <v>70.0</v>
      </c>
      <c r="G16" s="6" t="n">
        <v>70.0</v>
      </c>
      <c r="H16" s="5" t="s">
        <v>79</v>
      </c>
      <c r="I16" s="3" t="s">
        <v>80</v>
      </c>
      <c r="J16" s="11" t="s">
        <v>81</v>
      </c>
      <c r="K16" s="17" t="n">
        <v>9.765</v>
      </c>
      <c r="L16" s="17" t="n">
        <v>9.765</v>
      </c>
      <c r="M16" s="3" t="s">
        <v>20</v>
      </c>
      <c r="N16" s="3" t="s">
        <v>36</v>
      </c>
      <c r="O16" s="3" t="s">
        <v>37</v>
      </c>
      <c r="P16" s="12" t="str">
        <f>HYPERLINK("http://slimages.macys.com/is/image/MCY/1969934 ")</f>
      </c>
    </row>
    <row r="17" spans="1:16" ht="24.75">
      <c r="A17" s="9" t="s">
        <v>82</v>
      </c>
      <c r="B17" s="3" t="s">
        <v>83</v>
      </c>
      <c r="C17" s="5" t="n">
        <v>1.0</v>
      </c>
      <c r="D17" s="6" t="n">
        <v>31.15</v>
      </c>
      <c r="E17" s="6" t="n">
        <v>31.15</v>
      </c>
      <c r="F17" s="10" t="n">
        <v>89.0</v>
      </c>
      <c r="G17" s="6" t="n">
        <v>89.0</v>
      </c>
      <c r="H17" s="5" t="s">
        <v>84</v>
      </c>
      <c r="I17" s="3" t="s">
        <v>71</v>
      </c>
      <c r="J17" s="11" t="s">
        <v>81</v>
      </c>
      <c r="K17" s="17" t="n">
        <v>9.656500000000001</v>
      </c>
      <c r="L17" s="17" t="n">
        <v>9.656500000000001</v>
      </c>
      <c r="M17" s="3" t="s">
        <v>20</v>
      </c>
      <c r="N17" s="3" t="s">
        <v>85</v>
      </c>
      <c r="O17" s="3" t="s">
        <v>86</v>
      </c>
      <c r="P17" s="12" t="str">
        <f>HYPERLINK("http://slimages.macys.com/is/image/MCY/2281705 ")</f>
      </c>
    </row>
    <row r="18" spans="1:16" ht="24.75">
      <c r="A18" s="9" t="s">
        <v>87</v>
      </c>
      <c r="B18" s="3" t="s">
        <v>88</v>
      </c>
      <c r="C18" s="5" t="n">
        <v>1.0</v>
      </c>
      <c r="D18" s="6" t="n">
        <v>31.15</v>
      </c>
      <c r="E18" s="6" t="n">
        <v>31.15</v>
      </c>
      <c r="F18" s="10" t="n">
        <v>89.0</v>
      </c>
      <c r="G18" s="6" t="n">
        <v>89.0</v>
      </c>
      <c r="H18" s="5" t="s">
        <v>84</v>
      </c>
      <c r="I18" s="3" t="s">
        <v>71</v>
      </c>
      <c r="J18" s="11" t="s">
        <v>76</v>
      </c>
      <c r="K18" s="17" t="n">
        <v>9.656500000000001</v>
      </c>
      <c r="L18" s="17" t="n">
        <v>9.656500000000001</v>
      </c>
      <c r="M18" s="3" t="s">
        <v>20</v>
      </c>
      <c r="N18" s="3" t="s">
        <v>85</v>
      </c>
      <c r="O18" s="3" t="s">
        <v>86</v>
      </c>
      <c r="P18" s="12" t="str">
        <f>HYPERLINK("http://slimages.macys.com/is/image/MCY/2281705 ")</f>
      </c>
    </row>
    <row r="19" spans="1:16" ht="24.75">
      <c r="A19" s="9" t="s">
        <v>89</v>
      </c>
      <c r="B19" s="3" t="s">
        <v>90</v>
      </c>
      <c r="C19" s="5" t="n">
        <v>1.0</v>
      </c>
      <c r="D19" s="6" t="n">
        <v>31.15</v>
      </c>
      <c r="E19" s="6" t="n">
        <v>31.15</v>
      </c>
      <c r="F19" s="10" t="n">
        <v>89.0</v>
      </c>
      <c r="G19" s="6" t="n">
        <v>89.0</v>
      </c>
      <c r="H19" s="5" t="s">
        <v>84</v>
      </c>
      <c r="I19" s="3" t="s">
        <v>71</v>
      </c>
      <c r="J19" s="11" t="s">
        <v>35</v>
      </c>
      <c r="K19" s="17" t="n">
        <v>9.656500000000001</v>
      </c>
      <c r="L19" s="17" t="n">
        <v>9.656500000000001</v>
      </c>
      <c r="M19" s="3" t="s">
        <v>20</v>
      </c>
      <c r="N19" s="3" t="s">
        <v>85</v>
      </c>
      <c r="O19" s="3" t="s">
        <v>86</v>
      </c>
      <c r="P19" s="12" t="str">
        <f>HYPERLINK("http://slimages.macys.com/is/image/MCY/2281705 ")</f>
      </c>
    </row>
    <row r="20" spans="1:16" ht="24.75">
      <c r="A20" s="9" t="s">
        <v>91</v>
      </c>
      <c r="B20" s="3" t="s">
        <v>92</v>
      </c>
      <c r="C20" s="5" t="n">
        <v>1.0</v>
      </c>
      <c r="D20" s="6" t="n">
        <v>30.03</v>
      </c>
      <c r="E20" s="6" t="n">
        <v>30.03</v>
      </c>
      <c r="F20" s="10" t="n">
        <v>79.0</v>
      </c>
      <c r="G20" s="6" t="n">
        <v>79.0</v>
      </c>
      <c r="H20" s="5" t="s">
        <v>93</v>
      </c>
      <c r="I20" s="3" t="s">
        <v>94</v>
      </c>
      <c r="J20" s="11" t="s">
        <v>76</v>
      </c>
      <c r="K20" s="17" t="n">
        <v>9.3093</v>
      </c>
      <c r="L20" s="17" t="n">
        <v>9.3093</v>
      </c>
      <c r="M20" s="3" t="s">
        <v>20</v>
      </c>
      <c r="N20" s="3" t="s">
        <v>95</v>
      </c>
      <c r="O20" s="3" t="s">
        <v>96</v>
      </c>
      <c r="P20" s="12" t="str">
        <f>HYPERLINK("http://slimages.macys.com/is/image/MCY/2256805 ")</f>
      </c>
    </row>
    <row r="21" spans="1:16" ht="24.75">
      <c r="A21" s="9" t="s">
        <v>97</v>
      </c>
      <c r="B21" s="3" t="s">
        <v>98</v>
      </c>
      <c r="C21" s="5" t="n">
        <v>1.0</v>
      </c>
      <c r="D21" s="6" t="n">
        <v>30.03</v>
      </c>
      <c r="E21" s="6" t="n">
        <v>30.03</v>
      </c>
      <c r="F21" s="10" t="n">
        <v>79.0</v>
      </c>
      <c r="G21" s="6" t="n">
        <v>79.0</v>
      </c>
      <c r="H21" s="5" t="s">
        <v>99</v>
      </c>
      <c r="I21" s="3" t="s">
        <v>94</v>
      </c>
      <c r="J21" s="11" t="s">
        <v>72</v>
      </c>
      <c r="K21" s="17" t="n">
        <v>9.3093</v>
      </c>
      <c r="L21" s="17" t="n">
        <v>9.3093</v>
      </c>
      <c r="M21" s="3" t="s">
        <v>20</v>
      </c>
      <c r="N21" s="3" t="s">
        <v>95</v>
      </c>
      <c r="O21" s="3" t="s">
        <v>96</v>
      </c>
      <c r="P21" s="12" t="str">
        <f>HYPERLINK("http://slimages.macys.com/is/image/MCY/2256854 ")</f>
      </c>
    </row>
    <row r="22" spans="1:16" ht="24.75">
      <c r="A22" s="9" t="s">
        <v>100</v>
      </c>
      <c r="B22" s="3" t="s">
        <v>101</v>
      </c>
      <c r="C22" s="5" t="n">
        <v>1.0</v>
      </c>
      <c r="D22" s="6" t="n">
        <v>30.03</v>
      </c>
      <c r="E22" s="6" t="n">
        <v>30.03</v>
      </c>
      <c r="F22" s="10" t="n">
        <v>79.0</v>
      </c>
      <c r="G22" s="6" t="n">
        <v>79.0</v>
      </c>
      <c r="H22" s="5" t="s">
        <v>102</v>
      </c>
      <c r="I22" s="3" t="s">
        <v>34</v>
      </c>
      <c r="J22" s="11" t="s">
        <v>81</v>
      </c>
      <c r="K22" s="17" t="n">
        <v>9.3093</v>
      </c>
      <c r="L22" s="17" t="n">
        <v>9.3093</v>
      </c>
      <c r="M22" s="3" t="s">
        <v>20</v>
      </c>
      <c r="N22" s="3" t="s">
        <v>95</v>
      </c>
      <c r="O22" s="3" t="s">
        <v>96</v>
      </c>
      <c r="P22" s="12" t="str">
        <f>HYPERLINK("http://slimages.macys.com/is/image/MCY/1986835 ")</f>
      </c>
    </row>
    <row r="23" spans="1:16" ht="24.75">
      <c r="A23" s="9" t="s">
        <v>103</v>
      </c>
      <c r="B23" s="3" t="s">
        <v>104</v>
      </c>
      <c r="C23" s="5" t="n">
        <v>1.0</v>
      </c>
      <c r="D23" s="6" t="n">
        <v>29.75</v>
      </c>
      <c r="E23" s="6" t="n">
        <v>29.75</v>
      </c>
      <c r="F23" s="10" t="n">
        <v>119.0</v>
      </c>
      <c r="G23" s="6" t="n">
        <v>119.0</v>
      </c>
      <c r="H23" s="5" t="n">
        <v>1.0466333E7</v>
      </c>
      <c r="I23" s="3" t="s">
        <v>105</v>
      </c>
      <c r="J23" s="11" t="s">
        <v>81</v>
      </c>
      <c r="K23" s="17" t="n">
        <v>9.2225</v>
      </c>
      <c r="L23" s="17" t="n">
        <v>9.2225</v>
      </c>
      <c r="M23" s="3" t="s">
        <v>20</v>
      </c>
      <c r="N23" s="3" t="s">
        <v>67</v>
      </c>
      <c r="O23" s="3" t="s">
        <v>68</v>
      </c>
      <c r="P23" s="12" t="str">
        <f>HYPERLINK("http://slimages.macys.com/is/image/MCY/2022736 ")</f>
      </c>
    </row>
    <row r="24" spans="1:16" ht="24.75">
      <c r="A24" s="9" t="s">
        <v>106</v>
      </c>
      <c r="B24" s="3" t="s">
        <v>107</v>
      </c>
      <c r="C24" s="5" t="n">
        <v>1.0</v>
      </c>
      <c r="D24" s="6" t="n">
        <v>28.03</v>
      </c>
      <c r="E24" s="6" t="n">
        <v>28.03</v>
      </c>
      <c r="F24" s="10" t="n">
        <v>79.0</v>
      </c>
      <c r="G24" s="6" t="n">
        <v>79.0</v>
      </c>
      <c r="H24" s="5" t="s">
        <v>108</v>
      </c>
      <c r="I24" s="3" t="s">
        <v>109</v>
      </c>
      <c r="J24" s="11" t="s">
        <v>35</v>
      </c>
      <c r="K24" s="17" t="n">
        <v>8.6893</v>
      </c>
      <c r="L24" s="17" t="n">
        <v>8.6893</v>
      </c>
      <c r="M24" s="3" t="s">
        <v>20</v>
      </c>
      <c r="N24" s="3" t="s">
        <v>85</v>
      </c>
      <c r="O24" s="3" t="s">
        <v>110</v>
      </c>
      <c r="P24" s="12" t="str">
        <f>HYPERLINK("http://slimages.macys.com/is/image/MCY/1680112 ")</f>
      </c>
    </row>
    <row r="25" spans="1:16" ht="24.75">
      <c r="A25" s="9" t="s">
        <v>111</v>
      </c>
      <c r="B25" s="3" t="s">
        <v>112</v>
      </c>
      <c r="C25" s="5" t="n">
        <v>1.0</v>
      </c>
      <c r="D25" s="6" t="n">
        <v>27.83</v>
      </c>
      <c r="E25" s="6" t="n">
        <v>27.83</v>
      </c>
      <c r="F25" s="10" t="n">
        <v>79.0</v>
      </c>
      <c r="G25" s="6" t="n">
        <v>79.0</v>
      </c>
      <c r="H25" s="5" t="s">
        <v>113</v>
      </c>
      <c r="I25" s="3" t="s">
        <v>94</v>
      </c>
      <c r="J25" s="11" t="s">
        <v>81</v>
      </c>
      <c r="K25" s="17" t="n">
        <v>8.6273</v>
      </c>
      <c r="L25" s="17" t="n">
        <v>8.6273</v>
      </c>
      <c r="M25" s="3" t="s">
        <v>20</v>
      </c>
      <c r="N25" s="3" t="s">
        <v>85</v>
      </c>
      <c r="O25" s="3" t="s">
        <v>110</v>
      </c>
      <c r="P25" s="12" t="str">
        <f>HYPERLINK("http://slimages.macys.com/is/image/MCY/2296465 ")</f>
      </c>
    </row>
    <row r="26" spans="1:16" ht="24.75">
      <c r="A26" s="9" t="s">
        <v>114</v>
      </c>
      <c r="B26" s="3" t="s">
        <v>115</v>
      </c>
      <c r="C26" s="5" t="n">
        <v>1.0</v>
      </c>
      <c r="D26" s="6" t="n">
        <v>27.65</v>
      </c>
      <c r="E26" s="6" t="n">
        <v>27.65</v>
      </c>
      <c r="F26" s="10" t="n">
        <v>79.0</v>
      </c>
      <c r="G26" s="6" t="n">
        <v>79.0</v>
      </c>
      <c r="H26" s="5" t="s">
        <v>116</v>
      </c>
      <c r="I26" s="3" t="s">
        <v>71</v>
      </c>
      <c r="J26" s="11" t="s">
        <v>76</v>
      </c>
      <c r="K26" s="17" t="n">
        <v>8.5715</v>
      </c>
      <c r="L26" s="17" t="n">
        <v>8.5715</v>
      </c>
      <c r="M26" s="3" t="s">
        <v>20</v>
      </c>
      <c r="N26" s="3" t="s">
        <v>85</v>
      </c>
      <c r="O26" s="3" t="s">
        <v>110</v>
      </c>
      <c r="P26" s="12" t="str">
        <f>HYPERLINK("http://slimages.macys.com/is/image/MCY/2281731 ")</f>
      </c>
    </row>
    <row r="27" spans="1:16" ht="24.75">
      <c r="A27" s="9" t="s">
        <v>117</v>
      </c>
      <c r="B27" s="3" t="s">
        <v>118</v>
      </c>
      <c r="C27" s="5" t="n">
        <v>1.0</v>
      </c>
      <c r="D27" s="6" t="n">
        <v>27.65</v>
      </c>
      <c r="E27" s="6" t="n">
        <v>27.65</v>
      </c>
      <c r="F27" s="10" t="n">
        <v>79.0</v>
      </c>
      <c r="G27" s="6" t="n">
        <v>79.0</v>
      </c>
      <c r="H27" s="5" t="n">
        <v>1.0476547E7</v>
      </c>
      <c r="I27" s="3" t="s">
        <v>119</v>
      </c>
      <c r="J27" s="11" t="s">
        <v>81</v>
      </c>
      <c r="K27" s="17" t="n">
        <v>8.5715</v>
      </c>
      <c r="L27" s="17" t="n">
        <v>8.5715</v>
      </c>
      <c r="M27" s="3" t="s">
        <v>20</v>
      </c>
      <c r="N27" s="3" t="s">
        <v>67</v>
      </c>
      <c r="O27" s="3" t="s">
        <v>68</v>
      </c>
      <c r="P27" s="12" t="str">
        <f>HYPERLINK("http://slimages.macys.com/is/image/MCY/1780255 ")</f>
      </c>
    </row>
    <row r="28" spans="1:16" ht="24.75">
      <c r="A28" s="9" t="s">
        <v>120</v>
      </c>
      <c r="B28" s="3" t="s">
        <v>121</v>
      </c>
      <c r="C28" s="5" t="n">
        <v>1.0</v>
      </c>
      <c r="D28" s="6" t="n">
        <v>27.65</v>
      </c>
      <c r="E28" s="6" t="n">
        <v>27.65</v>
      </c>
      <c r="F28" s="10" t="n">
        <v>79.0</v>
      </c>
      <c r="G28" s="6" t="n">
        <v>79.0</v>
      </c>
      <c r="H28" s="5" t="s">
        <v>122</v>
      </c>
      <c r="I28" s="3" t="s">
        <v>1196</v>
      </c>
      <c r="J28" s="11" t="s">
        <v>45</v>
      </c>
      <c r="K28" s="17" t="n">
        <v>8.5715</v>
      </c>
      <c r="L28" s="17" t="n">
        <v>8.5715</v>
      </c>
      <c r="M28" s="3" t="s">
        <v>20</v>
      </c>
      <c r="N28" s="3" t="s">
        <v>85</v>
      </c>
      <c r="O28" s="3" t="s">
        <v>110</v>
      </c>
      <c r="P28" s="12" t="str">
        <f>HYPERLINK("http://slimages.macys.com/is/image/MCY/2227261 ")</f>
      </c>
    </row>
    <row r="29" spans="1:16" ht="24.75">
      <c r="A29" s="9" t="s">
        <v>123</v>
      </c>
      <c r="B29" s="3" t="s">
        <v>124</v>
      </c>
      <c r="C29" s="5" t="n">
        <v>1.0</v>
      </c>
      <c r="D29" s="6" t="n">
        <v>27.65</v>
      </c>
      <c r="E29" s="6" t="n">
        <v>27.65</v>
      </c>
      <c r="F29" s="10" t="n">
        <v>79.0</v>
      </c>
      <c r="G29" s="6" t="n">
        <v>79.0</v>
      </c>
      <c r="H29" s="5" t="s">
        <v>125</v>
      </c>
      <c r="I29" s="3" t="s">
        <v>71</v>
      </c>
      <c r="J29" s="11" t="s">
        <v>45</v>
      </c>
      <c r="K29" s="17" t="n">
        <v>8.5715</v>
      </c>
      <c r="L29" s="17" t="n">
        <v>8.5715</v>
      </c>
      <c r="M29" s="3" t="s">
        <v>20</v>
      </c>
      <c r="N29" s="3" t="s">
        <v>85</v>
      </c>
      <c r="O29" s="3" t="s">
        <v>110</v>
      </c>
      <c r="P29" s="12" t="str">
        <f>HYPERLINK("http://slimages.macys.com/is/image/MCY/2144008 ")</f>
      </c>
    </row>
    <row r="30" spans="1:16" ht="24.75">
      <c r="A30" s="9" t="s">
        <v>126</v>
      </c>
      <c r="B30" s="3" t="s">
        <v>127</v>
      </c>
      <c r="C30" s="5" t="n">
        <v>1.0</v>
      </c>
      <c r="D30" s="6" t="n">
        <v>27.65</v>
      </c>
      <c r="E30" s="6" t="n">
        <v>27.65</v>
      </c>
      <c r="F30" s="10" t="n">
        <v>79.0</v>
      </c>
      <c r="G30" s="6" t="n">
        <v>79.0</v>
      </c>
      <c r="H30" s="5" t="s">
        <v>116</v>
      </c>
      <c r="I30" s="3" t="s">
        <v>71</v>
      </c>
      <c r="J30" s="11" t="s">
        <v>81</v>
      </c>
      <c r="K30" s="17" t="n">
        <v>8.5715</v>
      </c>
      <c r="L30" s="17" t="n">
        <v>8.5715</v>
      </c>
      <c r="M30" s="3" t="s">
        <v>20</v>
      </c>
      <c r="N30" s="3" t="s">
        <v>85</v>
      </c>
      <c r="O30" s="3" t="s">
        <v>110</v>
      </c>
      <c r="P30" s="12" t="str">
        <f>HYPERLINK("http://slimages.macys.com/is/image/MCY/2281731 ")</f>
      </c>
    </row>
    <row r="31" spans="1:16" ht="24.75">
      <c r="A31" s="9" t="s">
        <v>128</v>
      </c>
      <c r="B31" s="3" t="s">
        <v>129</v>
      </c>
      <c r="C31" s="5" t="n">
        <v>1.0</v>
      </c>
      <c r="D31" s="6" t="n">
        <v>27.65</v>
      </c>
      <c r="E31" s="6" t="n">
        <v>27.65</v>
      </c>
      <c r="F31" s="10" t="n">
        <v>79.0</v>
      </c>
      <c r="G31" s="6" t="n">
        <v>79.0</v>
      </c>
      <c r="H31" s="5" t="s">
        <v>116</v>
      </c>
      <c r="I31" s="3" t="s">
        <v>71</v>
      </c>
      <c r="J31" s="11" t="s">
        <v>45</v>
      </c>
      <c r="K31" s="17" t="n">
        <v>8.5715</v>
      </c>
      <c r="L31" s="17" t="n">
        <v>8.5715</v>
      </c>
      <c r="M31" s="3" t="s">
        <v>20</v>
      </c>
      <c r="N31" s="3" t="s">
        <v>85</v>
      </c>
      <c r="O31" s="3" t="s">
        <v>110</v>
      </c>
      <c r="P31" s="12" t="str">
        <f>HYPERLINK("http://slimages.macys.com/is/image/MCY/2281731 ")</f>
      </c>
    </row>
    <row r="32" spans="1:16">
      <c r="A32" s="9" t="s">
        <v>130</v>
      </c>
      <c r="B32" s="3" t="s">
        <v>131</v>
      </c>
      <c r="C32" s="5" t="n">
        <v>1.0</v>
      </c>
      <c r="D32" s="6" t="n">
        <v>27.65</v>
      </c>
      <c r="E32" s="6" t="n">
        <v>27.65</v>
      </c>
      <c r="F32" s="10" t="n">
        <v>79.0</v>
      </c>
      <c r="G32" s="6" t="n">
        <v>79.0</v>
      </c>
      <c r="H32" s="5" t="s">
        <v>132</v>
      </c>
      <c r="I32" s="3" t="s">
        <v>71</v>
      </c>
      <c r="J32" s="11" t="s">
        <v>45</v>
      </c>
      <c r="K32" s="17" t="n">
        <v>8.5715</v>
      </c>
      <c r="L32" s="17" t="n">
        <v>8.5715</v>
      </c>
      <c r="M32" s="3" t="s">
        <v>20</v>
      </c>
      <c r="N32" s="3" t="s">
        <v>85</v>
      </c>
      <c r="O32" s="3" t="s">
        <v>133</v>
      </c>
      <c r="P32" s="12" t="str">
        <f>HYPERLINK("http://slimages.macys.com/is/image/MCY/2181110 ")</f>
      </c>
    </row>
    <row r="33" spans="1:16" ht="24.75">
      <c r="A33" s="9" t="s">
        <v>134</v>
      </c>
      <c r="B33" s="3" t="s">
        <v>135</v>
      </c>
      <c r="C33" s="5" t="n">
        <v>1.0</v>
      </c>
      <c r="D33" s="6" t="n">
        <v>27.01</v>
      </c>
      <c r="E33" s="6" t="n">
        <v>27.01</v>
      </c>
      <c r="F33" s="10" t="n">
        <v>54.0</v>
      </c>
      <c r="G33" s="6" t="n">
        <v>54.0</v>
      </c>
      <c r="H33" s="5" t="n">
        <v>1.25110043E8</v>
      </c>
      <c r="I33" s="3" t="s">
        <v>136</v>
      </c>
      <c r="J33" s="11" t="s">
        <v>1196</v>
      </c>
      <c r="K33" s="17" t="n">
        <v>8.3731</v>
      </c>
      <c r="L33" s="17" t="n">
        <v>8.3731</v>
      </c>
      <c r="M33" s="3" t="s">
        <v>20</v>
      </c>
      <c r="N33" s="3" t="s">
        <v>137</v>
      </c>
      <c r="O33" s="3" t="s">
        <v>138</v>
      </c>
      <c r="P33" s="12" t="str">
        <f>HYPERLINK("http://slimages.macys.com/is/image/MCY/1248725 ")</f>
      </c>
    </row>
    <row r="34" spans="1:16" ht="24.75">
      <c r="A34" s="9" t="s">
        <v>139</v>
      </c>
      <c r="B34" s="3" t="s">
        <v>140</v>
      </c>
      <c r="C34" s="5" t="n">
        <v>1.0</v>
      </c>
      <c r="D34" s="6" t="n">
        <v>27.01</v>
      </c>
      <c r="E34" s="6" t="n">
        <v>27.01</v>
      </c>
      <c r="F34" s="10" t="n">
        <v>54.0</v>
      </c>
      <c r="G34" s="6" t="n">
        <v>54.0</v>
      </c>
      <c r="H34" s="5" t="n">
        <v>5.8119004E8</v>
      </c>
      <c r="I34" s="3" t="s">
        <v>141</v>
      </c>
      <c r="J34" s="11" t="s">
        <v>142</v>
      </c>
      <c r="K34" s="17" t="n">
        <v>8.3731</v>
      </c>
      <c r="L34" s="17" t="n">
        <v>8.3731</v>
      </c>
      <c r="M34" s="3" t="s">
        <v>20</v>
      </c>
      <c r="N34" s="3" t="s">
        <v>143</v>
      </c>
      <c r="O34" s="3" t="s">
        <v>138</v>
      </c>
      <c r="P34" s="12" t="str">
        <f>HYPERLINK("http://slimages.macys.com/is/image/MCY/1666736 ")</f>
      </c>
    </row>
    <row r="35" spans="1:16">
      <c r="A35" s="9" t="s">
        <v>144</v>
      </c>
      <c r="B35" s="3" t="s">
        <v>145</v>
      </c>
      <c r="C35" s="5" t="n">
        <v>1.0</v>
      </c>
      <c r="D35" s="6" t="n">
        <v>24.46</v>
      </c>
      <c r="E35" s="6" t="n">
        <v>24.46</v>
      </c>
      <c r="F35" s="10" t="n">
        <v>54.0</v>
      </c>
      <c r="G35" s="6" t="n">
        <v>54.0</v>
      </c>
      <c r="H35" s="5" t="n">
        <v>1.55160136E8</v>
      </c>
      <c r="I35" s="3" t="s">
        <v>141</v>
      </c>
      <c r="J35" s="11" t="s">
        <v>1196</v>
      </c>
      <c r="K35" s="17" t="n">
        <v>7.582600000000001</v>
      </c>
      <c r="L35" s="17" t="n">
        <v>7.582600000000001</v>
      </c>
      <c r="M35" s="3" t="s">
        <v>20</v>
      </c>
      <c r="N35" s="3" t="s">
        <v>143</v>
      </c>
      <c r="O35" s="3" t="s">
        <v>138</v>
      </c>
      <c r="P35" s="12" t="str">
        <f>HYPERLINK("http://slimages.macys.com/is/image/MCY/2212172 ")</f>
      </c>
    </row>
    <row r="36" spans="1:16" ht="24.75">
      <c r="A36" s="9" t="s">
        <v>146</v>
      </c>
      <c r="B36" s="3" t="s">
        <v>147</v>
      </c>
      <c r="C36" s="5" t="n">
        <v>2.0</v>
      </c>
      <c r="D36" s="6" t="n">
        <v>24.46</v>
      </c>
      <c r="E36" s="6" t="n">
        <v>48.92</v>
      </c>
      <c r="F36" s="10" t="n">
        <v>54.0</v>
      </c>
      <c r="G36" s="6" t="n">
        <v>108.0</v>
      </c>
      <c r="H36" s="5" t="n">
        <v>1.55160124E8</v>
      </c>
      <c r="I36" s="3" t="s">
        <v>136</v>
      </c>
      <c r="J36" s="11" t="s">
        <v>142</v>
      </c>
      <c r="K36" s="17" t="n">
        <v>7.582600000000001</v>
      </c>
      <c r="L36" s="17" t="n">
        <v>15.165200000000002</v>
      </c>
      <c r="M36" s="3" t="s">
        <v>20</v>
      </c>
      <c r="N36" s="3" t="s">
        <v>143</v>
      </c>
      <c r="O36" s="3" t="s">
        <v>138</v>
      </c>
      <c r="P36" s="12" t="str">
        <f>HYPERLINK("http://slimages.macys.com/is/image/MCY/1666753 ")</f>
      </c>
    </row>
    <row r="37" spans="1:16">
      <c r="A37" s="9" t="s">
        <v>148</v>
      </c>
      <c r="B37" s="3" t="s">
        <v>149</v>
      </c>
      <c r="C37" s="5" t="n">
        <v>1.0</v>
      </c>
      <c r="D37" s="6" t="n">
        <v>24.32</v>
      </c>
      <c r="E37" s="6" t="n">
        <v>24.32</v>
      </c>
      <c r="F37" s="10" t="n">
        <v>69.5</v>
      </c>
      <c r="G37" s="6" t="n">
        <v>69.5</v>
      </c>
      <c r="H37" s="5" t="s">
        <v>150</v>
      </c>
      <c r="I37" s="3" t="s">
        <v>151</v>
      </c>
      <c r="J37" s="11" t="s">
        <v>81</v>
      </c>
      <c r="K37" s="17" t="n">
        <v>7.5392</v>
      </c>
      <c r="L37" s="17" t="n">
        <v>7.5392</v>
      </c>
      <c r="M37" s="3" t="s">
        <v>20</v>
      </c>
      <c r="N37" s="3" t="s">
        <v>152</v>
      </c>
      <c r="O37" s="3" t="s">
        <v>153</v>
      </c>
      <c r="P37" s="12" t="str">
        <f>HYPERLINK("http://slimages.macys.com/is/image/MCY/2201092 ")</f>
      </c>
    </row>
    <row r="38" spans="1:16" ht="24.75">
      <c r="A38" s="9" t="s">
        <v>154</v>
      </c>
      <c r="B38" s="3" t="s">
        <v>155</v>
      </c>
      <c r="C38" s="5" t="n">
        <v>1.0</v>
      </c>
      <c r="D38" s="6" t="n">
        <v>24.32</v>
      </c>
      <c r="E38" s="6" t="n">
        <v>24.32</v>
      </c>
      <c r="F38" s="10" t="n">
        <v>69.5</v>
      </c>
      <c r="G38" s="6" t="n">
        <v>69.5</v>
      </c>
      <c r="H38" s="5" t="s">
        <v>150</v>
      </c>
      <c r="I38" s="3" t="s">
        <v>151</v>
      </c>
      <c r="J38" s="11" t="s">
        <v>72</v>
      </c>
      <c r="K38" s="17" t="n">
        <v>7.5392</v>
      </c>
      <c r="L38" s="17" t="n">
        <v>7.5392</v>
      </c>
      <c r="M38" s="3" t="s">
        <v>20</v>
      </c>
      <c r="N38" s="3" t="s">
        <v>152</v>
      </c>
      <c r="O38" s="3" t="s">
        <v>153</v>
      </c>
      <c r="P38" s="12" t="str">
        <f>HYPERLINK("http://slimages.macys.com/is/image/MCY/2201092 ")</f>
      </c>
    </row>
    <row r="39" spans="1:16" ht="24.75">
      <c r="A39" s="9" t="s">
        <v>156</v>
      </c>
      <c r="B39" s="3" t="s">
        <v>157</v>
      </c>
      <c r="C39" s="5" t="n">
        <v>1.0</v>
      </c>
      <c r="D39" s="6" t="n">
        <v>24.15</v>
      </c>
      <c r="E39" s="6" t="n">
        <v>24.15</v>
      </c>
      <c r="F39" s="10" t="n">
        <v>69.0</v>
      </c>
      <c r="G39" s="6" t="n">
        <v>69.0</v>
      </c>
      <c r="H39" s="5" t="s">
        <v>158</v>
      </c>
      <c r="I39" s="3" t="s">
        <v>71</v>
      </c>
      <c r="J39" s="11" t="s">
        <v>81</v>
      </c>
      <c r="K39" s="17" t="n">
        <v>7.4865</v>
      </c>
      <c r="L39" s="17" t="n">
        <v>7.4865</v>
      </c>
      <c r="M39" s="3" t="s">
        <v>20</v>
      </c>
      <c r="N39" s="3" t="s">
        <v>85</v>
      </c>
      <c r="O39" s="3" t="s">
        <v>159</v>
      </c>
      <c r="P39" s="12" t="str">
        <f>HYPERLINK("http://slimages.macys.com/is/image/MCY/2260584 ")</f>
      </c>
    </row>
    <row r="40" spans="1:16" ht="24.75">
      <c r="A40" s="9" t="s">
        <v>160</v>
      </c>
      <c r="B40" s="3" t="s">
        <v>161</v>
      </c>
      <c r="C40" s="5" t="n">
        <v>1.0</v>
      </c>
      <c r="D40" s="6" t="n">
        <v>24.15</v>
      </c>
      <c r="E40" s="6" t="n">
        <v>24.15</v>
      </c>
      <c r="F40" s="10" t="n">
        <v>69.0</v>
      </c>
      <c r="G40" s="6" t="n">
        <v>69.0</v>
      </c>
      <c r="H40" s="5" t="s">
        <v>162</v>
      </c>
      <c r="I40" s="3" t="s">
        <v>1196</v>
      </c>
      <c r="J40" s="11" t="s">
        <v>45</v>
      </c>
      <c r="K40" s="17" t="n">
        <v>7.4865</v>
      </c>
      <c r="L40" s="17" t="n">
        <v>7.4865</v>
      </c>
      <c r="M40" s="3" t="s">
        <v>20</v>
      </c>
      <c r="N40" s="3" t="s">
        <v>85</v>
      </c>
      <c r="O40" s="3" t="s">
        <v>133</v>
      </c>
      <c r="P40" s="12" t="str">
        <f>HYPERLINK("http://slimages.macys.com/is/image/MCY/2181098 ")</f>
      </c>
    </row>
    <row r="41" spans="1:16" ht="24.75">
      <c r="A41" s="9" t="s">
        <v>163</v>
      </c>
      <c r="B41" s="3" t="s">
        <v>164</v>
      </c>
      <c r="C41" s="5" t="n">
        <v>1.0</v>
      </c>
      <c r="D41" s="6" t="n">
        <v>24.0</v>
      </c>
      <c r="E41" s="6" t="n">
        <v>24.0</v>
      </c>
      <c r="F41" s="10" t="n">
        <v>79.0</v>
      </c>
      <c r="G41" s="6" t="n">
        <v>79.0</v>
      </c>
      <c r="H41" s="5" t="n">
        <v>6.0337451E7</v>
      </c>
      <c r="I41" s="3" t="s">
        <v>165</v>
      </c>
      <c r="J41" s="11" t="s">
        <v>1196</v>
      </c>
      <c r="K41" s="17" t="n">
        <v>7.4399999999999995</v>
      </c>
      <c r="L41" s="17" t="n">
        <v>7.4399999999999995</v>
      </c>
      <c r="M41" s="3" t="s">
        <v>20</v>
      </c>
      <c r="N41" s="3" t="s">
        <v>67</v>
      </c>
      <c r="O41" s="3" t="s">
        <v>68</v>
      </c>
      <c r="P41" s="12" t="str">
        <f>HYPERLINK("http://slimages.macys.com/is/image/MCY/2191091 ")</f>
      </c>
    </row>
    <row r="42" spans="1:16" ht="24.75">
      <c r="A42" s="9" t="s">
        <v>166</v>
      </c>
      <c r="B42" s="3" t="s">
        <v>167</v>
      </c>
      <c r="C42" s="5" t="n">
        <v>1.0</v>
      </c>
      <c r="D42" s="6" t="n">
        <v>24.0</v>
      </c>
      <c r="E42" s="6" t="n">
        <v>24.0</v>
      </c>
      <c r="F42" s="10" t="n">
        <v>79.0</v>
      </c>
      <c r="G42" s="6" t="n">
        <v>79.0</v>
      </c>
      <c r="H42" s="5" t="n">
        <v>6.0337449E7</v>
      </c>
      <c r="I42" s="3" t="s">
        <v>141</v>
      </c>
      <c r="J42" s="11" t="s">
        <v>168</v>
      </c>
      <c r="K42" s="17" t="n">
        <v>7.4399999999999995</v>
      </c>
      <c r="L42" s="17" t="n">
        <v>7.4399999999999995</v>
      </c>
      <c r="M42" s="3" t="s">
        <v>20</v>
      </c>
      <c r="N42" s="3" t="s">
        <v>67</v>
      </c>
      <c r="O42" s="3" t="s">
        <v>68</v>
      </c>
      <c r="P42" s="12" t="str">
        <f>HYPERLINK("http://slimages.macys.com/is/image/MCY/2191061 ")</f>
      </c>
    </row>
    <row r="43" spans="1:16">
      <c r="A43" s="9" t="s">
        <v>169</v>
      </c>
      <c r="B43" s="3" t="s">
        <v>170</v>
      </c>
      <c r="C43" s="5" t="n">
        <v>1.0</v>
      </c>
      <c r="D43" s="6" t="n">
        <v>23.92</v>
      </c>
      <c r="E43" s="6" t="n">
        <v>23.92</v>
      </c>
      <c r="F43" s="10" t="n">
        <v>52.0</v>
      </c>
      <c r="G43" s="6" t="n">
        <v>52.0</v>
      </c>
      <c r="H43" s="5" t="n">
        <v>520501.0</v>
      </c>
      <c r="I43" s="3" t="s">
        <v>171</v>
      </c>
      <c r="J43" s="11" t="s">
        <v>172</v>
      </c>
      <c r="K43" s="17" t="n">
        <v>7.4152</v>
      </c>
      <c r="L43" s="17" t="n">
        <v>7.4152</v>
      </c>
      <c r="M43" s="3" t="s">
        <v>20</v>
      </c>
      <c r="N43" s="3" t="s">
        <v>173</v>
      </c>
      <c r="O43" s="3" t="s">
        <v>174</v>
      </c>
      <c r="P43" s="12" t="str">
        <f>HYPERLINK("http://slimages.macys.com/is/image/MCY/2280594 ")</f>
      </c>
    </row>
    <row r="44" spans="1:16" ht="24.75">
      <c r="A44" s="9" t="s">
        <v>175</v>
      </c>
      <c r="B44" s="3" t="s">
        <v>176</v>
      </c>
      <c r="C44" s="5" t="n">
        <v>1.0</v>
      </c>
      <c r="D44" s="6" t="n">
        <v>23.8</v>
      </c>
      <c r="E44" s="6" t="n">
        <v>23.8</v>
      </c>
      <c r="F44" s="10" t="n">
        <v>119.0</v>
      </c>
      <c r="G44" s="6" t="n">
        <v>119.0</v>
      </c>
      <c r="H44" s="5" t="n">
        <v>1.0511894E7</v>
      </c>
      <c r="I44" s="3" t="s">
        <v>71</v>
      </c>
      <c r="J44" s="11" t="s">
        <v>177</v>
      </c>
      <c r="K44" s="17" t="n">
        <v>7.378</v>
      </c>
      <c r="L44" s="17" t="n">
        <v>7.378</v>
      </c>
      <c r="M44" s="3" t="s">
        <v>20</v>
      </c>
      <c r="N44" s="3" t="s">
        <v>67</v>
      </c>
      <c r="O44" s="3" t="s">
        <v>68</v>
      </c>
      <c r="P44" s="12" t="str">
        <f>HYPERLINK("http://slimages.macys.com/is/image/MCY/2143929 ")</f>
      </c>
    </row>
    <row r="45" spans="1:16" ht="24.75">
      <c r="A45" s="9" t="s">
        <v>178</v>
      </c>
      <c r="B45" s="3" t="s">
        <v>179</v>
      </c>
      <c r="C45" s="5" t="n">
        <v>1.0</v>
      </c>
      <c r="D45" s="6" t="n">
        <v>23.8</v>
      </c>
      <c r="E45" s="6" t="n">
        <v>23.8</v>
      </c>
      <c r="F45" s="10" t="n">
        <v>119.0</v>
      </c>
      <c r="G45" s="6" t="n">
        <v>119.0</v>
      </c>
      <c r="H45" s="5" t="n">
        <v>1.04913E7</v>
      </c>
      <c r="I45" s="3" t="s">
        <v>141</v>
      </c>
      <c r="J45" s="11" t="s">
        <v>45</v>
      </c>
      <c r="K45" s="17" t="n">
        <v>7.378</v>
      </c>
      <c r="L45" s="17" t="n">
        <v>7.378</v>
      </c>
      <c r="M45" s="3" t="s">
        <v>20</v>
      </c>
      <c r="N45" s="3" t="s">
        <v>67</v>
      </c>
      <c r="O45" s="3" t="s">
        <v>68</v>
      </c>
      <c r="P45" s="12" t="str">
        <f>HYPERLINK("http://slimages.macys.com/is/image/MCY/2143941 ")</f>
      </c>
    </row>
    <row r="46" spans="1:16">
      <c r="A46" s="9" t="s">
        <v>180</v>
      </c>
      <c r="B46" s="3" t="s">
        <v>181</v>
      </c>
      <c r="C46" s="5" t="n">
        <v>1.0</v>
      </c>
      <c r="D46" s="6" t="n">
        <v>23.46</v>
      </c>
      <c r="E46" s="6" t="n">
        <v>23.46</v>
      </c>
      <c r="F46" s="10" t="n">
        <v>69.0</v>
      </c>
      <c r="G46" s="6" t="n">
        <v>69.0</v>
      </c>
      <c r="H46" s="5" t="s">
        <v>182</v>
      </c>
      <c r="I46" s="3" t="s">
        <v>141</v>
      </c>
      <c r="J46" s="11" t="s">
        <v>81</v>
      </c>
      <c r="K46" s="17" t="n">
        <v>7.272600000000001</v>
      </c>
      <c r="L46" s="17" t="n">
        <v>7.272600000000001</v>
      </c>
      <c r="M46" s="3" t="s">
        <v>20</v>
      </c>
      <c r="N46" s="3" t="s">
        <v>152</v>
      </c>
      <c r="O46" s="3" t="s">
        <v>153</v>
      </c>
      <c r="P46" s="12" t="str">
        <f>HYPERLINK("http://slimages.macys.com/is/image/MCY/2169063 ")</f>
      </c>
    </row>
    <row r="47" spans="1:16" ht="24.75">
      <c r="A47" s="9" t="s">
        <v>183</v>
      </c>
      <c r="B47" s="3" t="s">
        <v>184</v>
      </c>
      <c r="C47" s="5" t="n">
        <v>1.0</v>
      </c>
      <c r="D47" s="6" t="n">
        <v>23.0</v>
      </c>
      <c r="E47" s="6" t="n">
        <v>23.0</v>
      </c>
      <c r="F47" s="10" t="n">
        <v>50.0</v>
      </c>
      <c r="G47" s="6" t="n">
        <v>50.0</v>
      </c>
      <c r="H47" s="5" t="s">
        <v>185</v>
      </c>
      <c r="I47" s="3" t="s">
        <v>44</v>
      </c>
      <c r="J47" s="11" t="s">
        <v>186</v>
      </c>
      <c r="K47" s="17" t="n">
        <v>7.13</v>
      </c>
      <c r="L47" s="17" t="n">
        <v>7.13</v>
      </c>
      <c r="M47" s="3" t="s">
        <v>20</v>
      </c>
      <c r="N47" s="3" t="s">
        <v>187</v>
      </c>
      <c r="O47" s="3" t="s">
        <v>188</v>
      </c>
      <c r="P47" s="12" t="str">
        <f>HYPERLINK("http://slimages.macys.com/is/image/MCY/2301662 ")</f>
      </c>
    </row>
    <row r="48" spans="1:16" ht="24.75">
      <c r="A48" s="9" t="s">
        <v>189</v>
      </c>
      <c r="B48" s="3" t="s">
        <v>190</v>
      </c>
      <c r="C48" s="5" t="n">
        <v>1.0</v>
      </c>
      <c r="D48" s="6" t="n">
        <v>22.5</v>
      </c>
      <c r="E48" s="6" t="n">
        <v>22.5</v>
      </c>
      <c r="F48" s="10" t="n">
        <v>59.25</v>
      </c>
      <c r="G48" s="6" t="n">
        <v>59.25</v>
      </c>
      <c r="H48" s="5" t="s">
        <v>191</v>
      </c>
      <c r="I48" s="3" t="s">
        <v>141</v>
      </c>
      <c r="J48" s="11" t="s">
        <v>192</v>
      </c>
      <c r="K48" s="17" t="n">
        <v>6.9750000000000005</v>
      </c>
      <c r="L48" s="17" t="n">
        <v>6.9750000000000005</v>
      </c>
      <c r="M48" s="3" t="s">
        <v>20</v>
      </c>
      <c r="N48" s="3" t="s">
        <v>193</v>
      </c>
      <c r="O48" s="3" t="s">
        <v>194</v>
      </c>
      <c r="P48" s="12" t="str">
        <f>HYPERLINK("http://slimages.macys.com/is/image/MCY/2167739 ")</f>
      </c>
    </row>
    <row r="49" spans="1:16" ht="24.75">
      <c r="A49" s="9" t="s">
        <v>195</v>
      </c>
      <c r="B49" s="3" t="s">
        <v>196</v>
      </c>
      <c r="C49" s="5" t="n">
        <v>2.0</v>
      </c>
      <c r="D49" s="6" t="n">
        <v>22.24</v>
      </c>
      <c r="E49" s="6" t="n">
        <v>44.48</v>
      </c>
      <c r="F49" s="10" t="n">
        <v>69.5</v>
      </c>
      <c r="G49" s="6" t="n">
        <v>139.0</v>
      </c>
      <c r="H49" s="5" t="s">
        <v>197</v>
      </c>
      <c r="I49" s="3" t="s">
        <v>1196</v>
      </c>
      <c r="J49" s="11" t="s">
        <v>35</v>
      </c>
      <c r="K49" s="17" t="n">
        <v>6.894400000000001</v>
      </c>
      <c r="L49" s="17" t="n">
        <v>13.788800000000002</v>
      </c>
      <c r="M49" s="3" t="s">
        <v>20</v>
      </c>
      <c r="N49" s="3" t="s">
        <v>85</v>
      </c>
      <c r="O49" s="3" t="s">
        <v>198</v>
      </c>
      <c r="P49" s="12" t="str">
        <f>HYPERLINK("http://slimages.macys.com/is/image/MCY/2296451 ")</f>
      </c>
    </row>
    <row r="50" spans="1:16" ht="24.75">
      <c r="A50" s="9" t="s">
        <v>199</v>
      </c>
      <c r="B50" s="3" t="s">
        <v>200</v>
      </c>
      <c r="C50" s="5" t="n">
        <v>1.0</v>
      </c>
      <c r="D50" s="6" t="n">
        <v>21.5</v>
      </c>
      <c r="E50" s="6" t="n">
        <v>21.5</v>
      </c>
      <c r="F50" s="10" t="n">
        <v>46.0</v>
      </c>
      <c r="G50" s="6" t="n">
        <v>46.0</v>
      </c>
      <c r="H50" s="5" t="s">
        <v>201</v>
      </c>
      <c r="I50" s="3" t="s">
        <v>202</v>
      </c>
      <c r="J50" s="11" t="s">
        <v>203</v>
      </c>
      <c r="K50" s="17" t="n">
        <v>6.665</v>
      </c>
      <c r="L50" s="17" t="n">
        <v>6.665</v>
      </c>
      <c r="M50" s="3" t="s">
        <v>20</v>
      </c>
      <c r="N50" s="3" t="s">
        <v>204</v>
      </c>
      <c r="O50" s="3" t="s">
        <v>188</v>
      </c>
      <c r="P50" s="12" t="str">
        <f>HYPERLINK("http://slimages.macys.com/is/image/MCY/2301603 ")</f>
      </c>
    </row>
    <row r="51" spans="1:16" ht="24.75">
      <c r="A51" s="9" t="s">
        <v>205</v>
      </c>
      <c r="B51" s="3" t="s">
        <v>206</v>
      </c>
      <c r="C51" s="5" t="n">
        <v>1.0</v>
      </c>
      <c r="D51" s="6" t="n">
        <v>21.5</v>
      </c>
      <c r="E51" s="6" t="n">
        <v>21.5</v>
      </c>
      <c r="F51" s="10" t="n">
        <v>46.0</v>
      </c>
      <c r="G51" s="6" t="n">
        <v>46.0</v>
      </c>
      <c r="H51" s="5" t="s">
        <v>207</v>
      </c>
      <c r="I51" s="3" t="s">
        <v>208</v>
      </c>
      <c r="J51" s="11" t="s">
        <v>209</v>
      </c>
      <c r="K51" s="17" t="n">
        <v>6.665</v>
      </c>
      <c r="L51" s="17" t="n">
        <v>6.665</v>
      </c>
      <c r="M51" s="3" t="s">
        <v>20</v>
      </c>
      <c r="N51" s="3" t="s">
        <v>204</v>
      </c>
      <c r="O51" s="3" t="s">
        <v>188</v>
      </c>
      <c r="P51" s="12" t="str">
        <f>HYPERLINK("http://slimages.macys.com/is/image/MCY/2301597 ")</f>
      </c>
    </row>
    <row r="52" spans="1:16" ht="24.75">
      <c r="A52" s="9" t="s">
        <v>210</v>
      </c>
      <c r="B52" s="3" t="s">
        <v>211</v>
      </c>
      <c r="C52" s="5" t="n">
        <v>1.0</v>
      </c>
      <c r="D52" s="6" t="n">
        <v>21.5</v>
      </c>
      <c r="E52" s="6" t="n">
        <v>21.5</v>
      </c>
      <c r="F52" s="10" t="n">
        <v>46.0</v>
      </c>
      <c r="G52" s="6" t="n">
        <v>46.0</v>
      </c>
      <c r="H52" s="5" t="s">
        <v>201</v>
      </c>
      <c r="I52" s="3" t="s">
        <v>202</v>
      </c>
      <c r="J52" s="11" t="s">
        <v>212</v>
      </c>
      <c r="K52" s="17" t="n">
        <v>6.665</v>
      </c>
      <c r="L52" s="17" t="n">
        <v>6.665</v>
      </c>
      <c r="M52" s="3" t="s">
        <v>20</v>
      </c>
      <c r="N52" s="3" t="s">
        <v>204</v>
      </c>
      <c r="O52" s="3" t="s">
        <v>188</v>
      </c>
      <c r="P52" s="12" t="str">
        <f>HYPERLINK("http://slimages.macys.com/is/image/MCY/2301603 ")</f>
      </c>
    </row>
    <row r="53" spans="1:16" ht="24.75">
      <c r="A53" s="9" t="s">
        <v>213</v>
      </c>
      <c r="B53" s="3" t="s">
        <v>214</v>
      </c>
      <c r="C53" s="5" t="n">
        <v>2.0</v>
      </c>
      <c r="D53" s="6" t="n">
        <v>21.5</v>
      </c>
      <c r="E53" s="6" t="n">
        <v>43.0</v>
      </c>
      <c r="F53" s="10" t="n">
        <v>46.0</v>
      </c>
      <c r="G53" s="6" t="n">
        <v>92.0</v>
      </c>
      <c r="H53" s="5" t="s">
        <v>215</v>
      </c>
      <c r="I53" s="3" t="s">
        <v>216</v>
      </c>
      <c r="J53" s="11" t="s">
        <v>217</v>
      </c>
      <c r="K53" s="17" t="n">
        <v>6.665</v>
      </c>
      <c r="L53" s="17" t="n">
        <v>13.33</v>
      </c>
      <c r="M53" s="3" t="s">
        <v>20</v>
      </c>
      <c r="N53" s="3" t="s">
        <v>218</v>
      </c>
      <c r="O53" s="3" t="s">
        <v>188</v>
      </c>
      <c r="P53" s="12" t="str">
        <f>HYPERLINK("http://slimages.macys.com/is/image/MCY/2184947 ")</f>
      </c>
    </row>
    <row r="54" spans="1:16" ht="24.75">
      <c r="A54" s="9" t="s">
        <v>219</v>
      </c>
      <c r="B54" s="3" t="s">
        <v>220</v>
      </c>
      <c r="C54" s="5" t="n">
        <v>1.0</v>
      </c>
      <c r="D54" s="6" t="n">
        <v>21.5</v>
      </c>
      <c r="E54" s="6" t="n">
        <v>21.5</v>
      </c>
      <c r="F54" s="10" t="n">
        <v>46.0</v>
      </c>
      <c r="G54" s="6" t="n">
        <v>46.0</v>
      </c>
      <c r="H54" s="5" t="s">
        <v>215</v>
      </c>
      <c r="I54" s="3" t="s">
        <v>216</v>
      </c>
      <c r="J54" s="11" t="s">
        <v>221</v>
      </c>
      <c r="K54" s="17" t="n">
        <v>6.665</v>
      </c>
      <c r="L54" s="17" t="n">
        <v>6.665</v>
      </c>
      <c r="M54" s="3" t="s">
        <v>20</v>
      </c>
      <c r="N54" s="3" t="s">
        <v>218</v>
      </c>
      <c r="O54" s="3" t="s">
        <v>188</v>
      </c>
      <c r="P54" s="12" t="str">
        <f>HYPERLINK("http://slimages.macys.com/is/image/MCY/2184947 ")</f>
      </c>
    </row>
    <row r="55" spans="1:16" ht="24.75">
      <c r="A55" s="9" t="s">
        <v>222</v>
      </c>
      <c r="B55" s="3" t="s">
        <v>223</v>
      </c>
      <c r="C55" s="5" t="n">
        <v>1.0</v>
      </c>
      <c r="D55" s="6" t="n">
        <v>20.83</v>
      </c>
      <c r="E55" s="6" t="n">
        <v>20.83</v>
      </c>
      <c r="F55" s="10" t="n">
        <v>59.5</v>
      </c>
      <c r="G55" s="6" t="n">
        <v>59.5</v>
      </c>
      <c r="H55" s="5" t="s">
        <v>224</v>
      </c>
      <c r="I55" s="3" t="s">
        <v>109</v>
      </c>
      <c r="J55" s="11" t="s">
        <v>35</v>
      </c>
      <c r="K55" s="17" t="n">
        <v>6.457300000000001</v>
      </c>
      <c r="L55" s="17" t="n">
        <v>6.457300000000001</v>
      </c>
      <c r="M55" s="3" t="s">
        <v>20</v>
      </c>
      <c r="N55" s="3" t="s">
        <v>85</v>
      </c>
      <c r="O55" s="3" t="s">
        <v>225</v>
      </c>
      <c r="P55" s="12" t="str">
        <f>HYPERLINK("http://slimages.macys.com/is/image/MCY/2281708 ")</f>
      </c>
    </row>
    <row r="56" spans="1:16" ht="24.75">
      <c r="A56" s="9" t="s">
        <v>226</v>
      </c>
      <c r="B56" s="3" t="s">
        <v>227</v>
      </c>
      <c r="C56" s="5" t="n">
        <v>1.0</v>
      </c>
      <c r="D56" s="6" t="n">
        <v>20.7</v>
      </c>
      <c r="E56" s="6" t="n">
        <v>20.7</v>
      </c>
      <c r="F56" s="10" t="n">
        <v>51.75</v>
      </c>
      <c r="G56" s="6" t="n">
        <v>51.75</v>
      </c>
      <c r="H56" s="5" t="n">
        <v>7.1594274093E10</v>
      </c>
      <c r="I56" s="3" t="s">
        <v>141</v>
      </c>
      <c r="J56" s="11" t="s">
        <v>228</v>
      </c>
      <c r="K56" s="17" t="n">
        <v>6.417</v>
      </c>
      <c r="L56" s="17" t="n">
        <v>6.417</v>
      </c>
      <c r="M56" s="3" t="s">
        <v>20</v>
      </c>
      <c r="N56" s="3" t="s">
        <v>229</v>
      </c>
      <c r="O56" s="3" t="s">
        <v>230</v>
      </c>
      <c r="P56" s="12" t="str">
        <f>HYPERLINK("http://slimages.macys.com/is/image/MCY/1970392 ")</f>
      </c>
    </row>
    <row r="57" spans="1:16" ht="24.75">
      <c r="A57" s="9" t="s">
        <v>231</v>
      </c>
      <c r="B57" s="3" t="s">
        <v>232</v>
      </c>
      <c r="C57" s="5" t="n">
        <v>1.0</v>
      </c>
      <c r="D57" s="6" t="n">
        <v>20.7</v>
      </c>
      <c r="E57" s="6" t="n">
        <v>20.7</v>
      </c>
      <c r="F57" s="10" t="n">
        <v>51.75</v>
      </c>
      <c r="G57" s="6" t="n">
        <v>51.75</v>
      </c>
      <c r="H57" s="5" t="n">
        <v>8860062.0</v>
      </c>
      <c r="I57" s="3" t="s">
        <v>171</v>
      </c>
      <c r="J57" s="11" t="s">
        <v>45</v>
      </c>
      <c r="K57" s="17" t="n">
        <v>6.417</v>
      </c>
      <c r="L57" s="17" t="n">
        <v>6.417</v>
      </c>
      <c r="M57" s="3" t="s">
        <v>20</v>
      </c>
      <c r="N57" s="3" t="s">
        <v>229</v>
      </c>
      <c r="O57" s="3" t="s">
        <v>233</v>
      </c>
      <c r="P57" s="12" t="str">
        <f>HYPERLINK("http://slimages.macys.com/is/image/MCY/1997456 ")</f>
      </c>
    </row>
    <row r="58" spans="1:16" ht="24.75">
      <c r="A58" s="9" t="s">
        <v>234</v>
      </c>
      <c r="B58" s="3" t="s">
        <v>235</v>
      </c>
      <c r="C58" s="5" t="n">
        <v>1.0</v>
      </c>
      <c r="D58" s="6" t="n">
        <v>20.7</v>
      </c>
      <c r="E58" s="6" t="n">
        <v>20.7</v>
      </c>
      <c r="F58" s="10" t="n">
        <v>51.75</v>
      </c>
      <c r="G58" s="6" t="n">
        <v>51.75</v>
      </c>
      <c r="H58" s="5" t="n">
        <v>8540061.0</v>
      </c>
      <c r="I58" s="3" t="s">
        <v>44</v>
      </c>
      <c r="J58" s="11" t="s">
        <v>236</v>
      </c>
      <c r="K58" s="17" t="n">
        <v>6.417</v>
      </c>
      <c r="L58" s="17" t="n">
        <v>6.417</v>
      </c>
      <c r="M58" s="3" t="s">
        <v>20</v>
      </c>
      <c r="N58" s="3" t="s">
        <v>229</v>
      </c>
      <c r="O58" s="3" t="s">
        <v>233</v>
      </c>
      <c r="P58" s="12" t="str">
        <f>HYPERLINK("http://slimages.macys.com/is/image/MCY/1665828 ")</f>
      </c>
    </row>
    <row r="59" spans="1:16" ht="24.75">
      <c r="A59" s="9" t="s">
        <v>237</v>
      </c>
      <c r="B59" s="3" t="s">
        <v>238</v>
      </c>
      <c r="C59" s="5" t="n">
        <v>1.0</v>
      </c>
      <c r="D59" s="6" t="n">
        <v>20.7</v>
      </c>
      <c r="E59" s="6" t="n">
        <v>20.7</v>
      </c>
      <c r="F59" s="10" t="n">
        <v>51.75</v>
      </c>
      <c r="G59" s="6" t="n">
        <v>51.75</v>
      </c>
      <c r="H59" s="5" t="n">
        <v>8540061.0</v>
      </c>
      <c r="I59" s="3" t="s">
        <v>56</v>
      </c>
      <c r="J59" s="11" t="s">
        <v>236</v>
      </c>
      <c r="K59" s="17" t="n">
        <v>6.417</v>
      </c>
      <c r="L59" s="17" t="n">
        <v>6.417</v>
      </c>
      <c r="M59" s="3" t="s">
        <v>20</v>
      </c>
      <c r="N59" s="3" t="s">
        <v>229</v>
      </c>
      <c r="O59" s="3" t="s">
        <v>233</v>
      </c>
      <c r="P59" s="12" t="str">
        <f>HYPERLINK("http://slimages.macys.com/is/image/MCY/1704338 ")</f>
      </c>
    </row>
    <row r="60" spans="1:16" ht="24.75">
      <c r="A60" s="9" t="s">
        <v>239</v>
      </c>
      <c r="B60" s="3" t="s">
        <v>240</v>
      </c>
      <c r="C60" s="5" t="n">
        <v>1.0</v>
      </c>
      <c r="D60" s="6" t="n">
        <v>20.2</v>
      </c>
      <c r="E60" s="6" t="n">
        <v>20.2</v>
      </c>
      <c r="F60" s="10" t="n">
        <v>51.75</v>
      </c>
      <c r="G60" s="6" t="n">
        <v>51.75</v>
      </c>
      <c r="H60" s="5" t="s">
        <v>241</v>
      </c>
      <c r="I60" s="3" t="s">
        <v>242</v>
      </c>
      <c r="J60" s="11" t="s">
        <v>45</v>
      </c>
      <c r="K60" s="17" t="n">
        <v>6.2620000000000005</v>
      </c>
      <c r="L60" s="17" t="n">
        <v>6.2620000000000005</v>
      </c>
      <c r="M60" s="3" t="s">
        <v>20</v>
      </c>
      <c r="N60" s="3" t="s">
        <v>243</v>
      </c>
      <c r="O60" s="3" t="s">
        <v>244</v>
      </c>
      <c r="P60" s="12" t="str">
        <f>HYPERLINK("http://slimages.macys.com/is/image/MCY/2197556 ")</f>
      </c>
    </row>
    <row r="61" spans="1:16" ht="24.75">
      <c r="A61" s="9" t="s">
        <v>245</v>
      </c>
      <c r="B61" s="3" t="s">
        <v>246</v>
      </c>
      <c r="C61" s="5" t="n">
        <v>1.0</v>
      </c>
      <c r="D61" s="6" t="n">
        <v>19.5</v>
      </c>
      <c r="E61" s="6" t="n">
        <v>19.5</v>
      </c>
      <c r="F61" s="10" t="n">
        <v>39.99</v>
      </c>
      <c r="G61" s="6" t="n">
        <v>39.99</v>
      </c>
      <c r="H61" s="5" t="s">
        <v>247</v>
      </c>
      <c r="I61" s="3" t="s">
        <v>141</v>
      </c>
      <c r="J61" s="11" t="s">
        <v>142</v>
      </c>
      <c r="K61" s="17" t="n">
        <v>6.045</v>
      </c>
      <c r="L61" s="17" t="n">
        <v>6.045</v>
      </c>
      <c r="M61" s="3" t="s">
        <v>20</v>
      </c>
      <c r="N61" s="3" t="s">
        <v>248</v>
      </c>
      <c r="O61" s="3" t="s">
        <v>249</v>
      </c>
      <c r="P61" s="12" t="str">
        <f>HYPERLINK("http://slimages.macys.com/is/image/MCY/1937922 ")</f>
      </c>
    </row>
    <row r="62" spans="1:16" ht="24.75">
      <c r="A62" s="9" t="s">
        <v>250</v>
      </c>
      <c r="B62" s="3" t="s">
        <v>251</v>
      </c>
      <c r="C62" s="5" t="n">
        <v>1.0</v>
      </c>
      <c r="D62" s="6" t="n">
        <v>19.5</v>
      </c>
      <c r="E62" s="6" t="n">
        <v>19.5</v>
      </c>
      <c r="F62" s="10" t="n">
        <v>59.0</v>
      </c>
      <c r="G62" s="6" t="n">
        <v>59.0</v>
      </c>
      <c r="H62" s="5" t="s">
        <v>252</v>
      </c>
      <c r="I62" s="3" t="s">
        <v>75</v>
      </c>
      <c r="J62" s="11" t="s">
        <v>81</v>
      </c>
      <c r="K62" s="17" t="n">
        <v>6.045</v>
      </c>
      <c r="L62" s="17" t="n">
        <v>6.045</v>
      </c>
      <c r="M62" s="3" t="s">
        <v>20</v>
      </c>
      <c r="N62" s="3" t="s">
        <v>253</v>
      </c>
      <c r="O62" s="3" t="s">
        <v>254</v>
      </c>
      <c r="P62" s="12" t="str">
        <f>HYPERLINK("http://slimages.macys.com/is/image/MCY/1938720 ")</f>
      </c>
    </row>
    <row r="63" spans="1:16" ht="24.75">
      <c r="A63" s="9" t="s">
        <v>255</v>
      </c>
      <c r="B63" s="3" t="s">
        <v>256</v>
      </c>
      <c r="C63" s="5" t="n">
        <v>2.0</v>
      </c>
      <c r="D63" s="6" t="n">
        <v>19.31</v>
      </c>
      <c r="E63" s="6" t="n">
        <v>38.62</v>
      </c>
      <c r="F63" s="10" t="n">
        <v>39.0</v>
      </c>
      <c r="G63" s="6" t="n">
        <v>78.0</v>
      </c>
      <c r="H63" s="5" t="s">
        <v>257</v>
      </c>
      <c r="I63" s="3" t="s">
        <v>258</v>
      </c>
      <c r="J63" s="11" t="s">
        <v>45</v>
      </c>
      <c r="K63" s="17" t="n">
        <v>5.9861</v>
      </c>
      <c r="L63" s="17" t="n">
        <v>11.9722</v>
      </c>
      <c r="M63" s="3" t="s">
        <v>20</v>
      </c>
      <c r="N63" s="3" t="s">
        <v>152</v>
      </c>
      <c r="O63" s="3" t="s">
        <v>153</v>
      </c>
      <c r="P63" s="12" t="str">
        <f>HYPERLINK("http://slimages.macys.com/is/image/MCY/2201073 ")</f>
      </c>
    </row>
    <row r="64" spans="1:16" ht="24.75">
      <c r="A64" s="9" t="s">
        <v>259</v>
      </c>
      <c r="B64" s="3" t="s">
        <v>260</v>
      </c>
      <c r="C64" s="5" t="n">
        <v>2.0</v>
      </c>
      <c r="D64" s="6" t="n">
        <v>19.1</v>
      </c>
      <c r="E64" s="6" t="n">
        <v>38.2</v>
      </c>
      <c r="F64" s="10" t="n">
        <v>51.75</v>
      </c>
      <c r="G64" s="6" t="n">
        <v>103.5</v>
      </c>
      <c r="H64" s="5" t="s">
        <v>261</v>
      </c>
      <c r="I64" s="3" t="s">
        <v>71</v>
      </c>
      <c r="J64" s="11" t="s">
        <v>262</v>
      </c>
      <c r="K64" s="17" t="n">
        <v>5.921</v>
      </c>
      <c r="L64" s="17" t="n">
        <v>11.842</v>
      </c>
      <c r="M64" s="3" t="s">
        <v>20</v>
      </c>
      <c r="N64" s="3" t="s">
        <v>263</v>
      </c>
      <c r="O64" s="3" t="s">
        <v>264</v>
      </c>
      <c r="P64" s="12" t="str">
        <f>HYPERLINK("http://slimages.macys.com/is/image/MCY/1735933 ")</f>
      </c>
    </row>
    <row r="65" spans="1:16" ht="36.75">
      <c r="A65" s="9" t="s">
        <v>265</v>
      </c>
      <c r="B65" s="3" t="s">
        <v>266</v>
      </c>
      <c r="C65" s="5" t="n">
        <v>1.0</v>
      </c>
      <c r="D65" s="6" t="n">
        <v>19.0</v>
      </c>
      <c r="E65" s="6" t="n">
        <v>19.0</v>
      </c>
      <c r="F65" s="10" t="n">
        <v>39.99</v>
      </c>
      <c r="G65" s="6" t="n">
        <v>39.99</v>
      </c>
      <c r="H65" s="5" t="s">
        <v>267</v>
      </c>
      <c r="I65" s="3" t="s">
        <v>71</v>
      </c>
      <c r="J65" s="11" t="s">
        <v>81</v>
      </c>
      <c r="K65" s="17" t="n">
        <v>5.89</v>
      </c>
      <c r="L65" s="17" t="n">
        <v>5.89</v>
      </c>
      <c r="M65" s="3" t="s">
        <v>20</v>
      </c>
      <c r="N65" s="3" t="s">
        <v>229</v>
      </c>
      <c r="O65" s="3" t="s">
        <v>230</v>
      </c>
      <c r="P65" s="12" t="str">
        <f>HYPERLINK("http://slimages.macys.com/is/image/MCY/2443462 ")</f>
      </c>
    </row>
    <row r="66" spans="1:16" ht="24.75">
      <c r="A66" s="9" t="s">
        <v>268</v>
      </c>
      <c r="B66" s="3" t="s">
        <v>269</v>
      </c>
      <c r="C66" s="5" t="n">
        <v>2.0</v>
      </c>
      <c r="D66" s="6" t="n">
        <v>19.0</v>
      </c>
      <c r="E66" s="6" t="n">
        <v>38.0</v>
      </c>
      <c r="F66" s="10" t="n">
        <v>39.99</v>
      </c>
      <c r="G66" s="6" t="n">
        <v>79.98</v>
      </c>
      <c r="H66" s="5" t="s">
        <v>267</v>
      </c>
      <c r="I66" s="3" t="s">
        <v>71</v>
      </c>
      <c r="J66" s="11" t="s">
        <v>45</v>
      </c>
      <c r="K66" s="17" t="n">
        <v>5.89</v>
      </c>
      <c r="L66" s="17" t="n">
        <v>11.78</v>
      </c>
      <c r="M66" s="3" t="s">
        <v>20</v>
      </c>
      <c r="N66" s="3" t="s">
        <v>229</v>
      </c>
      <c r="O66" s="3" t="s">
        <v>230</v>
      </c>
      <c r="P66" s="12" t="str">
        <f>HYPERLINK("http://slimages.macys.com/is/image/MCY/2443462 ")</f>
      </c>
    </row>
    <row r="67" spans="1:16" ht="24.75">
      <c r="A67" s="9" t="s">
        <v>270</v>
      </c>
      <c r="B67" s="3" t="s">
        <v>271</v>
      </c>
      <c r="C67" s="5" t="n">
        <v>1.0</v>
      </c>
      <c r="D67" s="6" t="n">
        <v>18.88</v>
      </c>
      <c r="E67" s="6" t="n">
        <v>18.88</v>
      </c>
      <c r="F67" s="10" t="n">
        <v>59.0</v>
      </c>
      <c r="G67" s="6" t="n">
        <v>59.0</v>
      </c>
      <c r="H67" s="5" t="s">
        <v>272</v>
      </c>
      <c r="I67" s="3" t="s">
        <v>141</v>
      </c>
      <c r="J67" s="11" t="s">
        <v>273</v>
      </c>
      <c r="K67" s="17" t="n">
        <v>5.8528</v>
      </c>
      <c r="L67" s="17" t="n">
        <v>5.8528</v>
      </c>
      <c r="M67" s="3" t="s">
        <v>20</v>
      </c>
      <c r="N67" s="3" t="s">
        <v>85</v>
      </c>
      <c r="O67" s="3" t="s">
        <v>274</v>
      </c>
      <c r="P67" s="12" t="str">
        <f>HYPERLINK("http://slimages.macys.com/is/image/MCY/1756115 ")</f>
      </c>
    </row>
    <row r="68" spans="1:16" ht="24.75">
      <c r="A68" s="9" t="s">
        <v>275</v>
      </c>
      <c r="B68" s="3" t="s">
        <v>276</v>
      </c>
      <c r="C68" s="5" t="n">
        <v>1.0</v>
      </c>
      <c r="D68" s="6" t="n">
        <v>18.1</v>
      </c>
      <c r="E68" s="6" t="n">
        <v>18.1</v>
      </c>
      <c r="F68" s="10" t="n">
        <v>44.25</v>
      </c>
      <c r="G68" s="6" t="n">
        <v>44.25</v>
      </c>
      <c r="H68" s="5" t="s">
        <v>277</v>
      </c>
      <c r="I68" s="3" t="s">
        <v>66</v>
      </c>
      <c r="J68" s="11" t="s">
        <v>278</v>
      </c>
      <c r="K68" s="17" t="n">
        <v>5.611000000000001</v>
      </c>
      <c r="L68" s="17" t="n">
        <v>5.611000000000001</v>
      </c>
      <c r="M68" s="3" t="s">
        <v>20</v>
      </c>
      <c r="N68" s="3" t="s">
        <v>279</v>
      </c>
      <c r="O68" s="3" t="s">
        <v>244</v>
      </c>
      <c r="P68" s="12" t="str">
        <f>HYPERLINK("http://slimages.macys.com/is/image/MCY/2097014 ")</f>
      </c>
    </row>
    <row r="69" spans="1:16" ht="24.75">
      <c r="A69" s="9" t="s">
        <v>280</v>
      </c>
      <c r="B69" s="3" t="s">
        <v>281</v>
      </c>
      <c r="C69" s="5" t="n">
        <v>1.0</v>
      </c>
      <c r="D69" s="6" t="n">
        <v>17.5</v>
      </c>
      <c r="E69" s="6" t="n">
        <v>17.5</v>
      </c>
      <c r="F69" s="10" t="n">
        <v>44.25</v>
      </c>
      <c r="G69" s="6" t="n">
        <v>44.25</v>
      </c>
      <c r="H69" s="5" t="s">
        <v>282</v>
      </c>
      <c r="I69" s="3" t="s">
        <v>1196</v>
      </c>
      <c r="J69" s="11" t="s">
        <v>76</v>
      </c>
      <c r="K69" s="17" t="n">
        <v>5.425</v>
      </c>
      <c r="L69" s="17" t="n">
        <v>5.425</v>
      </c>
      <c r="M69" s="3" t="s">
        <v>20</v>
      </c>
      <c r="N69" s="3" t="s">
        <v>283</v>
      </c>
      <c r="O69" s="3" t="s">
        <v>264</v>
      </c>
      <c r="P69" s="12" t="str">
        <f>HYPERLINK("http://slimages.macys.com/is/image/MCY/2223085 ")</f>
      </c>
    </row>
    <row r="70" spans="1:16">
      <c r="A70" s="9" t="s">
        <v>284</v>
      </c>
      <c r="B70" s="3" t="s">
        <v>285</v>
      </c>
      <c r="C70" s="5" t="n">
        <v>1.0</v>
      </c>
      <c r="D70" s="6" t="n">
        <v>17.5</v>
      </c>
      <c r="E70" s="6" t="n">
        <v>17.5</v>
      </c>
      <c r="F70" s="10" t="n">
        <v>51.75</v>
      </c>
      <c r="G70" s="6" t="n">
        <v>51.75</v>
      </c>
      <c r="H70" s="5" t="s">
        <v>286</v>
      </c>
      <c r="I70" s="3" t="s">
        <v>71</v>
      </c>
      <c r="J70" s="11" t="s">
        <v>172</v>
      </c>
      <c r="K70" s="17" t="n">
        <v>5.425</v>
      </c>
      <c r="L70" s="17" t="n">
        <v>5.425</v>
      </c>
      <c r="M70" s="3" t="s">
        <v>20</v>
      </c>
      <c r="N70" s="3" t="s">
        <v>193</v>
      </c>
      <c r="O70" s="3" t="s">
        <v>287</v>
      </c>
      <c r="P70" s="12" t="str">
        <f>HYPERLINK("http://slimages.macys.com/is/image/MCY/2265903 ")</f>
      </c>
    </row>
    <row r="71" spans="1:16" ht="24.75">
      <c r="A71" s="9" t="s">
        <v>288</v>
      </c>
      <c r="B71" s="3" t="s">
        <v>289</v>
      </c>
      <c r="C71" s="5" t="n">
        <v>1.0</v>
      </c>
      <c r="D71" s="6" t="n">
        <v>17.5</v>
      </c>
      <c r="E71" s="6" t="n">
        <v>17.5</v>
      </c>
      <c r="F71" s="10" t="n">
        <v>36.99</v>
      </c>
      <c r="G71" s="6" t="n">
        <v>36.99</v>
      </c>
      <c r="H71" s="5" t="n">
        <v>8891018.0</v>
      </c>
      <c r="I71" s="3" t="s">
        <v>56</v>
      </c>
      <c r="J71" s="11" t="s">
        <v>45</v>
      </c>
      <c r="K71" s="17" t="n">
        <v>5.425</v>
      </c>
      <c r="L71" s="17" t="n">
        <v>5.425</v>
      </c>
      <c r="M71" s="3" t="s">
        <v>20</v>
      </c>
      <c r="N71" s="3" t="s">
        <v>290</v>
      </c>
      <c r="O71" s="3" t="s">
        <v>233</v>
      </c>
      <c r="P71" s="12" t="str">
        <f>HYPERLINK("http://slimages.macys.com/is/image/MCY/2278407 ")</f>
      </c>
    </row>
    <row r="72" spans="1:16" ht="24.75">
      <c r="A72" s="9" t="s">
        <v>291</v>
      </c>
      <c r="B72" s="3" t="s">
        <v>292</v>
      </c>
      <c r="C72" s="5" t="n">
        <v>1.0</v>
      </c>
      <c r="D72" s="6" t="n">
        <v>17.5</v>
      </c>
      <c r="E72" s="6" t="n">
        <v>17.5</v>
      </c>
      <c r="F72" s="10" t="n">
        <v>45.0</v>
      </c>
      <c r="G72" s="6" t="n">
        <v>45.0</v>
      </c>
      <c r="H72" s="5" t="s">
        <v>293</v>
      </c>
      <c r="I72" s="3" t="s">
        <v>141</v>
      </c>
      <c r="J72" s="11" t="s">
        <v>76</v>
      </c>
      <c r="K72" s="17" t="n">
        <v>5.425</v>
      </c>
      <c r="L72" s="17" t="n">
        <v>5.425</v>
      </c>
      <c r="M72" s="3" t="s">
        <v>20</v>
      </c>
      <c r="N72" s="3" t="s">
        <v>229</v>
      </c>
      <c r="O72" s="3" t="s">
        <v>287</v>
      </c>
      <c r="P72" s="12" t="str">
        <f>HYPERLINK("http://slimages.macys.com/is/image/MCY/2328746 ")</f>
      </c>
    </row>
    <row r="73" spans="1:16" ht="24.75">
      <c r="A73" s="9" t="s">
        <v>294</v>
      </c>
      <c r="B73" s="3" t="s">
        <v>295</v>
      </c>
      <c r="C73" s="5" t="n">
        <v>1.0</v>
      </c>
      <c r="D73" s="6" t="n">
        <v>17.5</v>
      </c>
      <c r="E73" s="6" t="n">
        <v>17.5</v>
      </c>
      <c r="F73" s="10" t="n">
        <v>36.99</v>
      </c>
      <c r="G73" s="6" t="n">
        <v>36.99</v>
      </c>
      <c r="H73" s="5" t="s">
        <v>296</v>
      </c>
      <c r="I73" s="3" t="s">
        <v>71</v>
      </c>
      <c r="J73" s="11" t="s">
        <v>45</v>
      </c>
      <c r="K73" s="17" t="n">
        <v>5.425</v>
      </c>
      <c r="L73" s="17" t="n">
        <v>5.425</v>
      </c>
      <c r="M73" s="3" t="s">
        <v>20</v>
      </c>
      <c r="N73" s="3" t="s">
        <v>229</v>
      </c>
      <c r="O73" s="3" t="s">
        <v>287</v>
      </c>
      <c r="P73" s="12" t="str">
        <f>HYPERLINK("http://slimages.macys.com/is/image/MCY/1245957 ")</f>
      </c>
    </row>
    <row r="74" spans="1:16" ht="24.75">
      <c r="A74" s="9" t="s">
        <v>297</v>
      </c>
      <c r="B74" s="3" t="s">
        <v>298</v>
      </c>
      <c r="C74" s="5" t="n">
        <v>1.0</v>
      </c>
      <c r="D74" s="6" t="n">
        <v>17.15</v>
      </c>
      <c r="E74" s="6" t="n">
        <v>17.15</v>
      </c>
      <c r="F74" s="10" t="n">
        <v>59.0</v>
      </c>
      <c r="G74" s="6" t="n">
        <v>59.0</v>
      </c>
      <c r="H74" s="5" t="s">
        <v>299</v>
      </c>
      <c r="I74" s="3" t="s">
        <v>242</v>
      </c>
      <c r="J74" s="11" t="s">
        <v>72</v>
      </c>
      <c r="K74" s="17" t="n">
        <v>5.3165000000000004</v>
      </c>
      <c r="L74" s="17" t="n">
        <v>5.3165000000000004</v>
      </c>
      <c r="M74" s="3" t="s">
        <v>20</v>
      </c>
      <c r="N74" s="3" t="s">
        <v>85</v>
      </c>
      <c r="O74" s="3" t="s">
        <v>300</v>
      </c>
      <c r="P74" s="12" t="str">
        <f>HYPERLINK("http://slimages.macys.com/is/image/MCY/2227215 ")</f>
      </c>
    </row>
    <row r="75" spans="1:16" ht="24.75">
      <c r="A75" s="9" t="s">
        <v>301</v>
      </c>
      <c r="B75" s="3" t="s">
        <v>302</v>
      </c>
      <c r="C75" s="5" t="n">
        <v>1.0</v>
      </c>
      <c r="D75" s="6" t="n">
        <v>17.15</v>
      </c>
      <c r="E75" s="6" t="n">
        <v>17.15</v>
      </c>
      <c r="F75" s="10" t="n">
        <v>49.0</v>
      </c>
      <c r="G75" s="6" t="n">
        <v>49.0</v>
      </c>
      <c r="H75" s="5" t="s">
        <v>303</v>
      </c>
      <c r="I75" s="3" t="s">
        <v>71</v>
      </c>
      <c r="J75" s="11" t="s">
        <v>72</v>
      </c>
      <c r="K75" s="17" t="n">
        <v>5.3165000000000004</v>
      </c>
      <c r="L75" s="17" t="n">
        <v>5.3165000000000004</v>
      </c>
      <c r="M75" s="3" t="s">
        <v>20</v>
      </c>
      <c r="N75" s="3" t="s">
        <v>85</v>
      </c>
      <c r="O75" s="3" t="s">
        <v>225</v>
      </c>
      <c r="P75" s="12" t="str">
        <f>HYPERLINK("http://slimages.macys.com/is/image/MCY/2227231 ")</f>
      </c>
    </row>
    <row r="76" spans="1:16" ht="24.75">
      <c r="A76" s="9" t="s">
        <v>304</v>
      </c>
      <c r="B76" s="3" t="s">
        <v>305</v>
      </c>
      <c r="C76" s="5" t="n">
        <v>1.0</v>
      </c>
      <c r="D76" s="6" t="n">
        <v>17.15</v>
      </c>
      <c r="E76" s="6" t="n">
        <v>17.15</v>
      </c>
      <c r="F76" s="10" t="n">
        <v>49.0</v>
      </c>
      <c r="G76" s="6" t="n">
        <v>49.0</v>
      </c>
      <c r="H76" s="5" t="s">
        <v>306</v>
      </c>
      <c r="I76" s="3" t="s">
        <v>34</v>
      </c>
      <c r="J76" s="11" t="s">
        <v>45</v>
      </c>
      <c r="K76" s="17" t="n">
        <v>5.3165000000000004</v>
      </c>
      <c r="L76" s="17" t="n">
        <v>5.3165000000000004</v>
      </c>
      <c r="M76" s="3" t="s">
        <v>20</v>
      </c>
      <c r="N76" s="3" t="s">
        <v>85</v>
      </c>
      <c r="O76" s="3" t="s">
        <v>300</v>
      </c>
      <c r="P76" s="12" t="str">
        <f>HYPERLINK("http://slimages.macys.com/is/image/MCY/2227216 ")</f>
      </c>
    </row>
    <row r="77" spans="1:16">
      <c r="A77" s="9" t="s">
        <v>307</v>
      </c>
      <c r="B77" s="3" t="s">
        <v>308</v>
      </c>
      <c r="C77" s="5" t="n">
        <v>1.0</v>
      </c>
      <c r="D77" s="6" t="n">
        <v>17.15</v>
      </c>
      <c r="E77" s="6" t="n">
        <v>17.15</v>
      </c>
      <c r="F77" s="10" t="n">
        <v>49.0</v>
      </c>
      <c r="G77" s="6" t="n">
        <v>49.0</v>
      </c>
      <c r="H77" s="5" t="s">
        <v>309</v>
      </c>
      <c r="I77" s="3" t="s">
        <v>171</v>
      </c>
      <c r="J77" s="11" t="s">
        <v>81</v>
      </c>
      <c r="K77" s="17" t="n">
        <v>5.3165000000000004</v>
      </c>
      <c r="L77" s="17" t="n">
        <v>5.3165000000000004</v>
      </c>
      <c r="M77" s="3" t="s">
        <v>20</v>
      </c>
      <c r="N77" s="3" t="s">
        <v>85</v>
      </c>
      <c r="O77" s="3" t="s">
        <v>300</v>
      </c>
      <c r="P77" s="12" t="str">
        <f>HYPERLINK("http://slimages.macys.com/is/image/MCY/2296420 ")</f>
      </c>
    </row>
    <row r="78" spans="1:16">
      <c r="A78" s="9" t="s">
        <v>310</v>
      </c>
      <c r="B78" s="3" t="s">
        <v>311</v>
      </c>
      <c r="C78" s="5" t="n">
        <v>1.0</v>
      </c>
      <c r="D78" s="6" t="n">
        <v>17.15</v>
      </c>
      <c r="E78" s="6" t="n">
        <v>17.15</v>
      </c>
      <c r="F78" s="10" t="n">
        <v>49.0</v>
      </c>
      <c r="G78" s="6" t="n">
        <v>49.0</v>
      </c>
      <c r="H78" s="5" t="s">
        <v>312</v>
      </c>
      <c r="I78" s="3" t="s">
        <v>34</v>
      </c>
      <c r="J78" s="11" t="s">
        <v>35</v>
      </c>
      <c r="K78" s="17" t="n">
        <v>5.3165000000000004</v>
      </c>
      <c r="L78" s="17" t="n">
        <v>5.3165000000000004</v>
      </c>
      <c r="M78" s="3" t="s">
        <v>20</v>
      </c>
      <c r="N78" s="3" t="s">
        <v>85</v>
      </c>
      <c r="O78" s="3" t="s">
        <v>110</v>
      </c>
      <c r="P78" s="12" t="str">
        <f>HYPERLINK("http://slimages.macys.com/is/image/MCY/2227255 ")</f>
      </c>
    </row>
    <row r="79" spans="1:16" ht="24.75">
      <c r="A79" s="9" t="s">
        <v>313</v>
      </c>
      <c r="B79" s="3" t="s">
        <v>314</v>
      </c>
      <c r="C79" s="5" t="n">
        <v>1.0</v>
      </c>
      <c r="D79" s="6" t="n">
        <v>17.15</v>
      </c>
      <c r="E79" s="6" t="n">
        <v>17.15</v>
      </c>
      <c r="F79" s="10" t="n">
        <v>49.0</v>
      </c>
      <c r="G79" s="6" t="n">
        <v>49.0</v>
      </c>
      <c r="H79" s="5" t="s">
        <v>315</v>
      </c>
      <c r="I79" s="3" t="s">
        <v>71</v>
      </c>
      <c r="J79" s="11" t="s">
        <v>35</v>
      </c>
      <c r="K79" s="17" t="n">
        <v>5.3165000000000004</v>
      </c>
      <c r="L79" s="17" t="n">
        <v>5.3165000000000004</v>
      </c>
      <c r="M79" s="3" t="s">
        <v>20</v>
      </c>
      <c r="N79" s="3" t="s">
        <v>85</v>
      </c>
      <c r="O79" s="3" t="s">
        <v>225</v>
      </c>
      <c r="P79" s="12" t="str">
        <f>HYPERLINK("http://slimages.macys.com/is/image/MCY/2296458 ")</f>
      </c>
    </row>
    <row r="80" spans="1:16" ht="24.75">
      <c r="A80" s="9" t="s">
        <v>316</v>
      </c>
      <c r="B80" s="3" t="s">
        <v>317</v>
      </c>
      <c r="C80" s="5" t="n">
        <v>1.0</v>
      </c>
      <c r="D80" s="6" t="n">
        <v>17.0</v>
      </c>
      <c r="E80" s="6" t="n">
        <v>17.0</v>
      </c>
      <c r="F80" s="10" t="n">
        <v>44.25</v>
      </c>
      <c r="G80" s="6" t="n">
        <v>44.25</v>
      </c>
      <c r="H80" s="5" t="s">
        <v>318</v>
      </c>
      <c r="I80" s="3" t="s">
        <v>258</v>
      </c>
      <c r="J80" s="11" t="s">
        <v>45</v>
      </c>
      <c r="K80" s="17" t="n">
        <v>5.27</v>
      </c>
      <c r="L80" s="17" t="n">
        <v>5.27</v>
      </c>
      <c r="M80" s="3" t="s">
        <v>20</v>
      </c>
      <c r="N80" s="3" t="s">
        <v>243</v>
      </c>
      <c r="O80" s="3" t="s">
        <v>244</v>
      </c>
      <c r="P80" s="12" t="str">
        <f>HYPERLINK("http://slimages.macys.com/is/image/MCY/2301594 ")</f>
      </c>
    </row>
    <row r="81" spans="1:16">
      <c r="A81" s="9" t="s">
        <v>319</v>
      </c>
      <c r="B81" s="3" t="s">
        <v>320</v>
      </c>
      <c r="C81" s="5" t="n">
        <v>1.0</v>
      </c>
      <c r="D81" s="6" t="n">
        <v>16.5</v>
      </c>
      <c r="E81" s="6" t="n">
        <v>16.5</v>
      </c>
      <c r="F81" s="10" t="n">
        <v>44.25</v>
      </c>
      <c r="G81" s="6" t="n">
        <v>44.25</v>
      </c>
      <c r="H81" s="5" t="s">
        <v>321</v>
      </c>
      <c r="I81" s="3" t="s">
        <v>71</v>
      </c>
      <c r="J81" s="11" t="s">
        <v>76</v>
      </c>
      <c r="K81" s="17" t="n">
        <v>5.115</v>
      </c>
      <c r="L81" s="17" t="n">
        <v>5.115</v>
      </c>
      <c r="M81" s="3" t="s">
        <v>20</v>
      </c>
      <c r="N81" s="3" t="s">
        <v>283</v>
      </c>
      <c r="O81" s="3" t="s">
        <v>264</v>
      </c>
      <c r="P81" s="12" t="str">
        <f>HYPERLINK("http://slimages.macys.com/is/image/MCY/2251766 ")</f>
      </c>
    </row>
    <row r="82" spans="1:16" ht="24.75">
      <c r="A82" s="9" t="s">
        <v>322</v>
      </c>
      <c r="B82" s="3" t="s">
        <v>323</v>
      </c>
      <c r="C82" s="5" t="n">
        <v>1.0</v>
      </c>
      <c r="D82" s="6" t="n">
        <v>16.5</v>
      </c>
      <c r="E82" s="6" t="n">
        <v>16.5</v>
      </c>
      <c r="F82" s="10" t="n">
        <v>44.25</v>
      </c>
      <c r="G82" s="6" t="n">
        <v>44.25</v>
      </c>
      <c r="H82" s="5" t="s">
        <v>324</v>
      </c>
      <c r="I82" s="3" t="s">
        <v>141</v>
      </c>
      <c r="J82" s="11" t="s">
        <v>81</v>
      </c>
      <c r="K82" s="17" t="n">
        <v>5.115</v>
      </c>
      <c r="L82" s="17" t="n">
        <v>5.115</v>
      </c>
      <c r="M82" s="3" t="s">
        <v>20</v>
      </c>
      <c r="N82" s="3" t="s">
        <v>243</v>
      </c>
      <c r="O82" s="3" t="s">
        <v>244</v>
      </c>
      <c r="P82" s="12" t="str">
        <f>HYPERLINK("http://slimages.macys.com/is/image/MCY/2086395 ")</f>
      </c>
    </row>
    <row r="83" spans="1:16" ht="24.75">
      <c r="A83" s="9" t="s">
        <v>325</v>
      </c>
      <c r="B83" s="3" t="s">
        <v>326</v>
      </c>
      <c r="C83" s="5" t="n">
        <v>1.0</v>
      </c>
      <c r="D83" s="6" t="n">
        <v>16.5</v>
      </c>
      <c r="E83" s="6" t="n">
        <v>16.5</v>
      </c>
      <c r="F83" s="10" t="n">
        <v>42.0</v>
      </c>
      <c r="G83" s="6" t="n">
        <v>42.0</v>
      </c>
      <c r="H83" s="5" t="s">
        <v>327</v>
      </c>
      <c r="I83" s="3" t="s">
        <v>56</v>
      </c>
      <c r="J83" s="11" t="s">
        <v>328</v>
      </c>
      <c r="K83" s="17" t="n">
        <v>5.115</v>
      </c>
      <c r="L83" s="17" t="n">
        <v>5.115</v>
      </c>
      <c r="M83" s="3" t="s">
        <v>20</v>
      </c>
      <c r="N83" s="3" t="s">
        <v>263</v>
      </c>
      <c r="O83" s="3" t="s">
        <v>264</v>
      </c>
      <c r="P83" s="12" t="str">
        <f>HYPERLINK("http://slimages.macys.com/is/image/MCY/2066829 ")</f>
      </c>
    </row>
    <row r="84" spans="1:16">
      <c r="A84" s="9" t="s">
        <v>329</v>
      </c>
      <c r="B84" s="3" t="s">
        <v>330</v>
      </c>
      <c r="C84" s="5" t="n">
        <v>2.0</v>
      </c>
      <c r="D84" s="6" t="n">
        <v>16.5</v>
      </c>
      <c r="E84" s="6" t="n">
        <v>33.0</v>
      </c>
      <c r="F84" s="10" t="n">
        <v>39.99</v>
      </c>
      <c r="G84" s="6" t="n">
        <v>79.98</v>
      </c>
      <c r="H84" s="5" t="s">
        <v>331</v>
      </c>
      <c r="I84" s="3" t="s">
        <v>202</v>
      </c>
      <c r="J84" s="11" t="s">
        <v>45</v>
      </c>
      <c r="K84" s="17" t="n">
        <v>5.115</v>
      </c>
      <c r="L84" s="17" t="n">
        <v>10.23</v>
      </c>
      <c r="M84" s="3" t="s">
        <v>20</v>
      </c>
      <c r="N84" s="3" t="s">
        <v>283</v>
      </c>
      <c r="O84" s="3" t="s">
        <v>264</v>
      </c>
      <c r="P84" s="12" t="str">
        <f>HYPERLINK("http://slimages.macys.com/is/image/MCY/2237627 ")</f>
      </c>
    </row>
    <row r="85" spans="1:16" ht="24.75">
      <c r="A85" s="9" t="s">
        <v>332</v>
      </c>
      <c r="B85" s="3" t="s">
        <v>333</v>
      </c>
      <c r="C85" s="5" t="n">
        <v>4.0</v>
      </c>
      <c r="D85" s="6" t="n">
        <v>16.5</v>
      </c>
      <c r="E85" s="6" t="n">
        <v>66.0</v>
      </c>
      <c r="F85" s="10" t="n">
        <v>44.25</v>
      </c>
      <c r="G85" s="6" t="n">
        <v>177.0</v>
      </c>
      <c r="H85" s="5" t="s">
        <v>334</v>
      </c>
      <c r="I85" s="3" t="s">
        <v>335</v>
      </c>
      <c r="J85" s="11" t="s">
        <v>81</v>
      </c>
      <c r="K85" s="17" t="n">
        <v>5.115</v>
      </c>
      <c r="L85" s="17" t="n">
        <v>20.46</v>
      </c>
      <c r="M85" s="3" t="s">
        <v>20</v>
      </c>
      <c r="N85" s="3" t="s">
        <v>243</v>
      </c>
      <c r="O85" s="3" t="s">
        <v>244</v>
      </c>
      <c r="P85" s="12" t="str">
        <f>HYPERLINK("http://slimages.macys.com/is/image/MCY/2237529 ")</f>
      </c>
    </row>
    <row r="86" spans="1:16" ht="24.75">
      <c r="A86" s="9" t="s">
        <v>336</v>
      </c>
      <c r="B86" s="3" t="s">
        <v>337</v>
      </c>
      <c r="C86" s="5" t="n">
        <v>1.0</v>
      </c>
      <c r="D86" s="6" t="n">
        <v>16.5</v>
      </c>
      <c r="E86" s="6" t="n">
        <v>16.5</v>
      </c>
      <c r="F86" s="10" t="n">
        <v>44.25</v>
      </c>
      <c r="G86" s="6" t="n">
        <v>44.25</v>
      </c>
      <c r="H86" s="5" t="s">
        <v>334</v>
      </c>
      <c r="I86" s="3" t="s">
        <v>335</v>
      </c>
      <c r="J86" s="11" t="s">
        <v>76</v>
      </c>
      <c r="K86" s="17" t="n">
        <v>5.115</v>
      </c>
      <c r="L86" s="17" t="n">
        <v>5.115</v>
      </c>
      <c r="M86" s="3" t="s">
        <v>20</v>
      </c>
      <c r="N86" s="3" t="s">
        <v>243</v>
      </c>
      <c r="O86" s="3" t="s">
        <v>244</v>
      </c>
      <c r="P86" s="12" t="str">
        <f>HYPERLINK("http://slimages.macys.com/is/image/MCY/2237529 ")</f>
      </c>
    </row>
    <row r="87" spans="1:16" ht="24.75">
      <c r="A87" s="9" t="s">
        <v>338</v>
      </c>
      <c r="B87" s="3" t="s">
        <v>339</v>
      </c>
      <c r="C87" s="5" t="n">
        <v>1.0</v>
      </c>
      <c r="D87" s="6" t="n">
        <v>16.5</v>
      </c>
      <c r="E87" s="6" t="n">
        <v>16.5</v>
      </c>
      <c r="F87" s="10" t="n">
        <v>34.99</v>
      </c>
      <c r="G87" s="6" t="n">
        <v>34.99</v>
      </c>
      <c r="H87" s="5" t="s">
        <v>340</v>
      </c>
      <c r="I87" s="3" t="s">
        <v>341</v>
      </c>
      <c r="J87" s="11" t="s">
        <v>35</v>
      </c>
      <c r="K87" s="17" t="n">
        <v>5.115</v>
      </c>
      <c r="L87" s="17" t="n">
        <v>5.115</v>
      </c>
      <c r="M87" s="3" t="s">
        <v>20</v>
      </c>
      <c r="N87" s="3" t="s">
        <v>229</v>
      </c>
      <c r="O87" s="3" t="s">
        <v>287</v>
      </c>
      <c r="P87" s="12" t="str">
        <f>HYPERLINK("http://slimages.macys.com/is/image/MCY/2097488 ")</f>
      </c>
    </row>
    <row r="88" spans="1:16" ht="24.75">
      <c r="A88" s="9" t="s">
        <v>342</v>
      </c>
      <c r="B88" s="3" t="s">
        <v>343</v>
      </c>
      <c r="C88" s="5" t="n">
        <v>1.0</v>
      </c>
      <c r="D88" s="6" t="n">
        <v>16.5</v>
      </c>
      <c r="E88" s="6" t="n">
        <v>16.5</v>
      </c>
      <c r="F88" s="10" t="n">
        <v>44.25</v>
      </c>
      <c r="G88" s="6" t="n">
        <v>44.25</v>
      </c>
      <c r="H88" s="5" t="s">
        <v>344</v>
      </c>
      <c r="I88" s="3" t="s">
        <v>141</v>
      </c>
      <c r="J88" s="11" t="s">
        <v>345</v>
      </c>
      <c r="K88" s="17" t="n">
        <v>5.115</v>
      </c>
      <c r="L88" s="17" t="n">
        <v>5.115</v>
      </c>
      <c r="M88" s="3" t="s">
        <v>20</v>
      </c>
      <c r="N88" s="3" t="s">
        <v>279</v>
      </c>
      <c r="O88" s="3" t="s">
        <v>244</v>
      </c>
      <c r="P88" s="12" t="str">
        <f>HYPERLINK("http://slimages.macys.com/is/image/MCY/2086395 ")</f>
      </c>
    </row>
    <row r="89" spans="1:16" ht="24.75">
      <c r="A89" s="9" t="s">
        <v>346</v>
      </c>
      <c r="B89" s="3" t="s">
        <v>347</v>
      </c>
      <c r="C89" s="5" t="n">
        <v>1.0</v>
      </c>
      <c r="D89" s="6" t="n">
        <v>16.17</v>
      </c>
      <c r="E89" s="6" t="n">
        <v>16.17</v>
      </c>
      <c r="F89" s="10" t="n">
        <v>49.0</v>
      </c>
      <c r="G89" s="6" t="n">
        <v>49.0</v>
      </c>
      <c r="H89" s="5" t="s">
        <v>348</v>
      </c>
      <c r="I89" s="3" t="s">
        <v>66</v>
      </c>
      <c r="J89" s="11" t="s">
        <v>81</v>
      </c>
      <c r="K89" s="17" t="n">
        <v>5.0127</v>
      </c>
      <c r="L89" s="17" t="n">
        <v>5.0127</v>
      </c>
      <c r="M89" s="3" t="s">
        <v>20</v>
      </c>
      <c r="N89" s="3" t="s">
        <v>85</v>
      </c>
      <c r="O89" s="3" t="s">
        <v>225</v>
      </c>
      <c r="P89" s="12" t="str">
        <f>HYPERLINK("http://slimages.macys.com/is/image/MCY/2181063 ")</f>
      </c>
    </row>
    <row r="90" spans="1:16" ht="24.75">
      <c r="A90" s="9" t="s">
        <v>349</v>
      </c>
      <c r="B90" s="3" t="s">
        <v>350</v>
      </c>
      <c r="C90" s="5" t="n">
        <v>1.0</v>
      </c>
      <c r="D90" s="6" t="n">
        <v>16.1</v>
      </c>
      <c r="E90" s="6" t="n">
        <v>16.1</v>
      </c>
      <c r="F90" s="10" t="n">
        <v>38.0</v>
      </c>
      <c r="G90" s="6" t="n">
        <v>38.0</v>
      </c>
      <c r="H90" s="5" t="n">
        <v>519829.0</v>
      </c>
      <c r="I90" s="3" t="s">
        <v>351</v>
      </c>
      <c r="J90" s="11" t="s">
        <v>45</v>
      </c>
      <c r="K90" s="17" t="n">
        <v>4.9910000000000005</v>
      </c>
      <c r="L90" s="17" t="n">
        <v>4.9910000000000005</v>
      </c>
      <c r="M90" s="3" t="s">
        <v>20</v>
      </c>
      <c r="N90" s="3" t="s">
        <v>352</v>
      </c>
      <c r="O90" s="3" t="s">
        <v>353</v>
      </c>
      <c r="P90" s="12" t="str">
        <f>HYPERLINK("http://slimages.macys.com/is/image/MCY/1493679 ")</f>
      </c>
    </row>
    <row r="91" spans="1:16" ht="24.75">
      <c r="A91" s="9" t="s">
        <v>354</v>
      </c>
      <c r="B91" s="3" t="s">
        <v>355</v>
      </c>
      <c r="C91" s="5" t="n">
        <v>1.0</v>
      </c>
      <c r="D91" s="6" t="n">
        <v>16.0</v>
      </c>
      <c r="E91" s="6" t="n">
        <v>16.0</v>
      </c>
      <c r="F91" s="10" t="n">
        <v>42.0</v>
      </c>
      <c r="G91" s="6" t="n">
        <v>42.0</v>
      </c>
      <c r="H91" s="5" t="s">
        <v>356</v>
      </c>
      <c r="I91" s="3" t="s">
        <v>71</v>
      </c>
      <c r="J91" s="11" t="s">
        <v>328</v>
      </c>
      <c r="K91" s="17" t="n">
        <v>4.960000000000001</v>
      </c>
      <c r="L91" s="17" t="n">
        <v>4.960000000000001</v>
      </c>
      <c r="M91" s="3" t="s">
        <v>20</v>
      </c>
      <c r="N91" s="3" t="s">
        <v>263</v>
      </c>
      <c r="O91" s="3" t="s">
        <v>357</v>
      </c>
      <c r="P91" s="12" t="str">
        <f>HYPERLINK("http://slimages.macys.com/is/image/MCY/2035675 ")</f>
      </c>
    </row>
    <row r="92" spans="1:16">
      <c r="A92" s="9" t="s">
        <v>358</v>
      </c>
      <c r="B92" s="3" t="s">
        <v>359</v>
      </c>
      <c r="C92" s="5" t="n">
        <v>1.0</v>
      </c>
      <c r="D92" s="6" t="n">
        <v>16.0</v>
      </c>
      <c r="E92" s="6" t="n">
        <v>16.0</v>
      </c>
      <c r="F92" s="10" t="n">
        <v>29.99</v>
      </c>
      <c r="G92" s="6" t="n">
        <v>29.99</v>
      </c>
      <c r="H92" s="5" t="s">
        <v>360</v>
      </c>
      <c r="I92" s="3" t="s">
        <v>361</v>
      </c>
      <c r="J92" s="11" t="s">
        <v>81</v>
      </c>
      <c r="K92" s="17" t="n">
        <v>4.960000000000001</v>
      </c>
      <c r="L92" s="17" t="n">
        <v>4.960000000000001</v>
      </c>
      <c r="M92" s="3" t="s">
        <v>20</v>
      </c>
      <c r="N92" s="3" t="s">
        <v>290</v>
      </c>
      <c r="O92" s="3" t="s">
        <v>362</v>
      </c>
      <c r="P92" s="12" t="str">
        <f>HYPERLINK("http://slimages.macys.com/is/image/MCY/2248702 ")</f>
      </c>
    </row>
    <row r="93" spans="1:16" ht="24.75">
      <c r="A93" s="9" t="s">
        <v>363</v>
      </c>
      <c r="B93" s="3" t="s">
        <v>364</v>
      </c>
      <c r="C93" s="5" t="n">
        <v>1.0</v>
      </c>
      <c r="D93" s="6" t="n">
        <v>16.0</v>
      </c>
      <c r="E93" s="6" t="n">
        <v>16.0</v>
      </c>
      <c r="F93" s="10" t="n">
        <v>36.99</v>
      </c>
      <c r="G93" s="6" t="n">
        <v>36.99</v>
      </c>
      <c r="H93" s="5" t="n">
        <v>8891014.0</v>
      </c>
      <c r="I93" s="3" t="s">
        <v>56</v>
      </c>
      <c r="J93" s="11" t="s">
        <v>45</v>
      </c>
      <c r="K93" s="17" t="n">
        <v>4.960000000000001</v>
      </c>
      <c r="L93" s="17" t="n">
        <v>4.960000000000001</v>
      </c>
      <c r="M93" s="3" t="s">
        <v>20</v>
      </c>
      <c r="N93" s="3" t="s">
        <v>290</v>
      </c>
      <c r="O93" s="3" t="s">
        <v>233</v>
      </c>
      <c r="P93" s="12" t="str">
        <f>HYPERLINK("http://slimages.macys.com/is/image/MCY/2223964 ")</f>
      </c>
    </row>
    <row r="94" spans="1:16" ht="24.75">
      <c r="A94" s="9" t="s">
        <v>365</v>
      </c>
      <c r="B94" s="3" t="s">
        <v>366</v>
      </c>
      <c r="C94" s="5" t="n">
        <v>1.0</v>
      </c>
      <c r="D94" s="6" t="n">
        <v>15.53</v>
      </c>
      <c r="E94" s="6" t="n">
        <v>15.53</v>
      </c>
      <c r="F94" s="10" t="n">
        <v>36.75</v>
      </c>
      <c r="G94" s="6" t="n">
        <v>36.75</v>
      </c>
      <c r="H94" s="5" t="s">
        <v>367</v>
      </c>
      <c r="I94" s="3" t="s">
        <v>341</v>
      </c>
      <c r="J94" s="11" t="s">
        <v>35</v>
      </c>
      <c r="K94" s="17" t="n">
        <v>4.8143</v>
      </c>
      <c r="L94" s="17" t="n">
        <v>4.8143</v>
      </c>
      <c r="M94" s="3" t="s">
        <v>20</v>
      </c>
      <c r="N94" s="3" t="s">
        <v>283</v>
      </c>
      <c r="O94" s="3" t="s">
        <v>264</v>
      </c>
      <c r="P94" s="12" t="str">
        <f>HYPERLINK("http://slimages.macys.com/is/image/MCY/1967965 ")</f>
      </c>
    </row>
    <row r="95" spans="1:16" ht="24.75">
      <c r="A95" s="9" t="s">
        <v>368</v>
      </c>
      <c r="B95" s="3" t="s">
        <v>369</v>
      </c>
      <c r="C95" s="5" t="n">
        <v>1.0</v>
      </c>
      <c r="D95" s="6" t="n">
        <v>15.5</v>
      </c>
      <c r="E95" s="6" t="n">
        <v>15.5</v>
      </c>
      <c r="F95" s="10" t="n">
        <v>44.25</v>
      </c>
      <c r="G95" s="6" t="n">
        <v>44.25</v>
      </c>
      <c r="H95" s="5" t="s">
        <v>370</v>
      </c>
      <c r="I95" s="3" t="s">
        <v>71</v>
      </c>
      <c r="J95" s="11" t="s">
        <v>1196</v>
      </c>
      <c r="K95" s="17" t="n">
        <v>4.805000000000001</v>
      </c>
      <c r="L95" s="17" t="n">
        <v>4.805000000000001</v>
      </c>
      <c r="M95" s="3" t="s">
        <v>20</v>
      </c>
      <c r="N95" s="3" t="s">
        <v>283</v>
      </c>
      <c r="O95" s="3" t="s">
        <v>264</v>
      </c>
      <c r="P95" s="12" t="str">
        <f>HYPERLINK("http://slimages.macys.com/is/image/MCY/2262728 ")</f>
      </c>
    </row>
    <row r="96" spans="1:16" ht="24.75">
      <c r="A96" s="9" t="s">
        <v>371</v>
      </c>
      <c r="B96" s="3" t="s">
        <v>372</v>
      </c>
      <c r="C96" s="5" t="n">
        <v>1.0</v>
      </c>
      <c r="D96" s="6" t="n">
        <v>15.0</v>
      </c>
      <c r="E96" s="6" t="n">
        <v>15.0</v>
      </c>
      <c r="F96" s="10" t="n">
        <v>40.5</v>
      </c>
      <c r="G96" s="6" t="n">
        <v>40.5</v>
      </c>
      <c r="H96" s="5" t="s">
        <v>373</v>
      </c>
      <c r="I96" s="3" t="s">
        <v>258</v>
      </c>
      <c r="J96" s="11" t="s">
        <v>35</v>
      </c>
      <c r="K96" s="17" t="n">
        <v>4.65</v>
      </c>
      <c r="L96" s="17" t="n">
        <v>4.65</v>
      </c>
      <c r="M96" s="3" t="s">
        <v>20</v>
      </c>
      <c r="N96" s="3" t="s">
        <v>243</v>
      </c>
      <c r="O96" s="3" t="s">
        <v>244</v>
      </c>
      <c r="P96" s="12" t="str">
        <f>HYPERLINK("http://slimages.macys.com/is/image/MCY/2301589 ")</f>
      </c>
    </row>
    <row r="97" spans="1:16" ht="24.75">
      <c r="A97" s="9" t="s">
        <v>374</v>
      </c>
      <c r="B97" s="3" t="s">
        <v>375</v>
      </c>
      <c r="C97" s="5" t="n">
        <v>1.0</v>
      </c>
      <c r="D97" s="6" t="n">
        <v>15.0</v>
      </c>
      <c r="E97" s="6" t="n">
        <v>15.0</v>
      </c>
      <c r="F97" s="10" t="n">
        <v>52.5</v>
      </c>
      <c r="G97" s="6" t="n">
        <v>52.5</v>
      </c>
      <c r="H97" s="5" t="s">
        <v>376</v>
      </c>
      <c r="I97" s="3" t="s">
        <v>56</v>
      </c>
      <c r="J97" s="11" t="s">
        <v>81</v>
      </c>
      <c r="K97" s="17" t="n">
        <v>4.65</v>
      </c>
      <c r="L97" s="17" t="n">
        <v>4.65</v>
      </c>
      <c r="M97" s="3" t="s">
        <v>20</v>
      </c>
      <c r="N97" s="3" t="s">
        <v>229</v>
      </c>
      <c r="O97" s="3" t="s">
        <v>287</v>
      </c>
      <c r="P97" s="12" t="str">
        <f>HYPERLINK("http://slimages.macys.com/is/image/MCY/2097494 ")</f>
      </c>
    </row>
    <row r="98" spans="1:16">
      <c r="A98" s="9" t="s">
        <v>377</v>
      </c>
      <c r="B98" s="3" t="s">
        <v>378</v>
      </c>
      <c r="C98" s="5" t="n">
        <v>1.0</v>
      </c>
      <c r="D98" s="6" t="n">
        <v>15.0</v>
      </c>
      <c r="E98" s="6" t="n">
        <v>15.0</v>
      </c>
      <c r="F98" s="10" t="n">
        <v>40.5</v>
      </c>
      <c r="G98" s="6" t="n">
        <v>40.5</v>
      </c>
      <c r="H98" s="5" t="s">
        <v>379</v>
      </c>
      <c r="I98" s="3" t="s">
        <v>380</v>
      </c>
      <c r="J98" s="11" t="s">
        <v>381</v>
      </c>
      <c r="K98" s="17" t="n">
        <v>4.65</v>
      </c>
      <c r="L98" s="17" t="n">
        <v>4.65</v>
      </c>
      <c r="M98" s="3" t="s">
        <v>20</v>
      </c>
      <c r="N98" s="3" t="s">
        <v>279</v>
      </c>
      <c r="O98" s="3" t="s">
        <v>244</v>
      </c>
      <c r="P98" s="12" t="str">
        <f>HYPERLINK("http://slimages.macys.com/is/image/MCY/2186378 ")</f>
      </c>
    </row>
    <row r="99" spans="1:16" ht="24.75">
      <c r="A99" s="9" t="s">
        <v>382</v>
      </c>
      <c r="B99" s="3" t="s">
        <v>383</v>
      </c>
      <c r="C99" s="5" t="n">
        <v>1.0</v>
      </c>
      <c r="D99" s="6" t="n">
        <v>15.0</v>
      </c>
      <c r="E99" s="6" t="n">
        <v>15.0</v>
      </c>
      <c r="F99" s="10" t="n">
        <v>40.5</v>
      </c>
      <c r="G99" s="6" t="n">
        <v>40.5</v>
      </c>
      <c r="H99" s="5" t="s">
        <v>384</v>
      </c>
      <c r="I99" s="3" t="s">
        <v>34</v>
      </c>
      <c r="J99" s="11" t="s">
        <v>345</v>
      </c>
      <c r="K99" s="17" t="n">
        <v>4.65</v>
      </c>
      <c r="L99" s="17" t="n">
        <v>4.65</v>
      </c>
      <c r="M99" s="3" t="s">
        <v>20</v>
      </c>
      <c r="N99" s="3" t="s">
        <v>279</v>
      </c>
      <c r="O99" s="3" t="s">
        <v>244</v>
      </c>
      <c r="P99" s="12" t="str">
        <f>HYPERLINK("http://slimages.macys.com/is/image/MCY/2184945 ")</f>
      </c>
    </row>
    <row r="100" spans="1:16" ht="24.75">
      <c r="A100" s="9" t="s">
        <v>385</v>
      </c>
      <c r="B100" s="3" t="s">
        <v>386</v>
      </c>
      <c r="C100" s="5" t="n">
        <v>1.0</v>
      </c>
      <c r="D100" s="6" t="n">
        <v>15.0</v>
      </c>
      <c r="E100" s="6" t="n">
        <v>15.0</v>
      </c>
      <c r="F100" s="10" t="n">
        <v>40.5</v>
      </c>
      <c r="G100" s="6" t="n">
        <v>40.5</v>
      </c>
      <c r="H100" s="5" t="s">
        <v>387</v>
      </c>
      <c r="I100" s="3" t="s">
        <v>380</v>
      </c>
      <c r="J100" s="11" t="s">
        <v>381</v>
      </c>
      <c r="K100" s="17" t="n">
        <v>4.65</v>
      </c>
      <c r="L100" s="17" t="n">
        <v>4.65</v>
      </c>
      <c r="M100" s="3" t="s">
        <v>20</v>
      </c>
      <c r="N100" s="3" t="s">
        <v>279</v>
      </c>
      <c r="O100" s="3" t="s">
        <v>244</v>
      </c>
      <c r="P100" s="12" t="str">
        <f>HYPERLINK("http://slimages.macys.com/is/image/MCY/2141316 ")</f>
      </c>
    </row>
    <row r="101" spans="1:16" ht="24.75">
      <c r="A101" s="9" t="s">
        <v>388</v>
      </c>
      <c r="B101" s="3" t="s">
        <v>389</v>
      </c>
      <c r="C101" s="5" t="n">
        <v>1.0</v>
      </c>
      <c r="D101" s="6" t="n">
        <v>15.0</v>
      </c>
      <c r="E101" s="6" t="n">
        <v>15.0</v>
      </c>
      <c r="F101" s="10" t="n">
        <v>40.5</v>
      </c>
      <c r="G101" s="6" t="n">
        <v>40.5</v>
      </c>
      <c r="H101" s="5" t="s">
        <v>387</v>
      </c>
      <c r="I101" s="3" t="s">
        <v>380</v>
      </c>
      <c r="J101" s="11" t="s">
        <v>1196</v>
      </c>
      <c r="K101" s="17" t="n">
        <v>4.65</v>
      </c>
      <c r="L101" s="17" t="n">
        <v>4.65</v>
      </c>
      <c r="M101" s="3" t="s">
        <v>20</v>
      </c>
      <c r="N101" s="3" t="s">
        <v>279</v>
      </c>
      <c r="O101" s="3" t="s">
        <v>244</v>
      </c>
      <c r="P101" s="12" t="str">
        <f>HYPERLINK("http://slimages.macys.com/is/image/MCY/2141316 ")</f>
      </c>
    </row>
    <row r="102" spans="1:16" ht="24.75">
      <c r="A102" s="9" t="s">
        <v>390</v>
      </c>
      <c r="B102" s="3" t="s">
        <v>391</v>
      </c>
      <c r="C102" s="5" t="n">
        <v>1.0</v>
      </c>
      <c r="D102" s="6" t="n">
        <v>15.0</v>
      </c>
      <c r="E102" s="6" t="n">
        <v>15.0</v>
      </c>
      <c r="F102" s="10" t="n">
        <v>40.5</v>
      </c>
      <c r="G102" s="6" t="n">
        <v>40.5</v>
      </c>
      <c r="H102" s="5" t="s">
        <v>392</v>
      </c>
      <c r="I102" s="3" t="s">
        <v>34</v>
      </c>
      <c r="J102" s="11" t="s">
        <v>45</v>
      </c>
      <c r="K102" s="17" t="n">
        <v>4.65</v>
      </c>
      <c r="L102" s="17" t="n">
        <v>4.65</v>
      </c>
      <c r="M102" s="3" t="s">
        <v>20</v>
      </c>
      <c r="N102" s="3" t="s">
        <v>243</v>
      </c>
      <c r="O102" s="3" t="s">
        <v>244</v>
      </c>
      <c r="P102" s="12" t="str">
        <f>HYPERLINK("http://slimages.macys.com/is/image/MCY/2248682 ")</f>
      </c>
    </row>
    <row r="103" spans="1:16" ht="24.75">
      <c r="A103" s="9" t="s">
        <v>393</v>
      </c>
      <c r="B103" s="3" t="s">
        <v>394</v>
      </c>
      <c r="C103" s="5" t="n">
        <v>2.0</v>
      </c>
      <c r="D103" s="6" t="n">
        <v>15.0</v>
      </c>
      <c r="E103" s="6" t="n">
        <v>30.0</v>
      </c>
      <c r="F103" s="10" t="n">
        <v>40.5</v>
      </c>
      <c r="G103" s="6" t="n">
        <v>81.0</v>
      </c>
      <c r="H103" s="5" t="s">
        <v>387</v>
      </c>
      <c r="I103" s="3" t="s">
        <v>380</v>
      </c>
      <c r="J103" s="11" t="s">
        <v>1196</v>
      </c>
      <c r="K103" s="17" t="n">
        <v>4.65</v>
      </c>
      <c r="L103" s="17" t="n">
        <v>9.3</v>
      </c>
      <c r="M103" s="3" t="s">
        <v>20</v>
      </c>
      <c r="N103" s="3" t="s">
        <v>279</v>
      </c>
      <c r="O103" s="3" t="s">
        <v>244</v>
      </c>
      <c r="P103" s="12" t="str">
        <f>HYPERLINK("http://slimages.macys.com/is/image/MCY/2141316 ")</f>
      </c>
    </row>
    <row r="104" spans="1:16" ht="24.75">
      <c r="A104" s="9" t="s">
        <v>395</v>
      </c>
      <c r="B104" s="3" t="s">
        <v>396</v>
      </c>
      <c r="C104" s="5" t="n">
        <v>1.0</v>
      </c>
      <c r="D104" s="6" t="n">
        <v>14.92</v>
      </c>
      <c r="E104" s="6" t="n">
        <v>14.92</v>
      </c>
      <c r="F104" s="10" t="n">
        <v>36.75</v>
      </c>
      <c r="G104" s="6" t="n">
        <v>36.75</v>
      </c>
      <c r="H104" s="5" t="s">
        <v>397</v>
      </c>
      <c r="I104" s="3" t="s">
        <v>242</v>
      </c>
      <c r="J104" s="11" t="s">
        <v>398</v>
      </c>
      <c r="K104" s="17" t="n">
        <v>4.6252</v>
      </c>
      <c r="L104" s="17" t="n">
        <v>4.6252</v>
      </c>
      <c r="M104" s="3" t="s">
        <v>20</v>
      </c>
      <c r="N104" s="3" t="s">
        <v>243</v>
      </c>
      <c r="O104" s="3" t="s">
        <v>244</v>
      </c>
      <c r="P104" s="12" t="str">
        <f>HYPERLINK("http://slimages.macys.com/is/image/MCY/2153419 ")</f>
      </c>
    </row>
    <row r="105" spans="1:16" ht="24.75">
      <c r="A105" s="9" t="s">
        <v>399</v>
      </c>
      <c r="B105" s="3" t="s">
        <v>400</v>
      </c>
      <c r="C105" s="5" t="n">
        <v>1.0</v>
      </c>
      <c r="D105" s="6" t="n">
        <v>14.85</v>
      </c>
      <c r="E105" s="6" t="n">
        <v>14.85</v>
      </c>
      <c r="F105" s="10" t="n">
        <v>36.75</v>
      </c>
      <c r="G105" s="6" t="n">
        <v>36.75</v>
      </c>
      <c r="H105" s="5" t="s">
        <v>401</v>
      </c>
      <c r="I105" s="3" t="s">
        <v>402</v>
      </c>
      <c r="J105" s="11" t="s">
        <v>236</v>
      </c>
      <c r="K105" s="17" t="n">
        <v>4.6035</v>
      </c>
      <c r="L105" s="17" t="n">
        <v>4.6035</v>
      </c>
      <c r="M105" s="3" t="s">
        <v>20</v>
      </c>
      <c r="N105" s="3" t="s">
        <v>403</v>
      </c>
      <c r="O105" s="3" t="s">
        <v>404</v>
      </c>
      <c r="P105" s="12" t="str">
        <f>HYPERLINK("http://slimages.macys.com/is/image/MCY/1449576 ")</f>
      </c>
    </row>
    <row r="106" spans="1:16" ht="24.75">
      <c r="A106" s="9" t="s">
        <v>405</v>
      </c>
      <c r="B106" s="3" t="s">
        <v>406</v>
      </c>
      <c r="C106" s="5" t="n">
        <v>1.0</v>
      </c>
      <c r="D106" s="6" t="n">
        <v>14.85</v>
      </c>
      <c r="E106" s="6" t="n">
        <v>14.85</v>
      </c>
      <c r="F106" s="10" t="n">
        <v>36.75</v>
      </c>
      <c r="G106" s="6" t="n">
        <v>36.75</v>
      </c>
      <c r="H106" s="5" t="s">
        <v>401</v>
      </c>
      <c r="I106" s="3" t="s">
        <v>402</v>
      </c>
      <c r="J106" s="11" t="s">
        <v>398</v>
      </c>
      <c r="K106" s="17" t="n">
        <v>4.6035</v>
      </c>
      <c r="L106" s="17" t="n">
        <v>4.6035</v>
      </c>
      <c r="M106" s="3" t="s">
        <v>20</v>
      </c>
      <c r="N106" s="3" t="s">
        <v>403</v>
      </c>
      <c r="O106" s="3" t="s">
        <v>404</v>
      </c>
      <c r="P106" s="12" t="str">
        <f>HYPERLINK("http://slimages.macys.com/is/image/MCY/1449576 ")</f>
      </c>
    </row>
    <row r="107" spans="1:16" ht="24.75">
      <c r="A107" s="9" t="s">
        <v>407</v>
      </c>
      <c r="B107" s="3" t="s">
        <v>408</v>
      </c>
      <c r="C107" s="5" t="n">
        <v>1.0</v>
      </c>
      <c r="D107" s="6" t="n">
        <v>14.75</v>
      </c>
      <c r="E107" s="6" t="n">
        <v>14.75</v>
      </c>
      <c r="F107" s="10" t="n">
        <v>36.75</v>
      </c>
      <c r="G107" s="6" t="n">
        <v>36.75</v>
      </c>
      <c r="H107" s="5" t="s">
        <v>409</v>
      </c>
      <c r="I107" s="3" t="s">
        <v>410</v>
      </c>
      <c r="J107" s="11" t="s">
        <v>411</v>
      </c>
      <c r="K107" s="17" t="n">
        <v>4.572500000000001</v>
      </c>
      <c r="L107" s="17" t="n">
        <v>4.572500000000001</v>
      </c>
      <c r="M107" s="3" t="s">
        <v>20</v>
      </c>
      <c r="N107" s="3" t="s">
        <v>412</v>
      </c>
      <c r="O107" s="3" t="s">
        <v>264</v>
      </c>
      <c r="P107" s="12" t="str">
        <f>HYPERLINK("http://slimages.macys.com/is/image/MCY/1206754 ")</f>
      </c>
    </row>
    <row r="108" spans="1:16" ht="24.75">
      <c r="A108" s="9" t="s">
        <v>413</v>
      </c>
      <c r="B108" s="3" t="s">
        <v>414</v>
      </c>
      <c r="C108" s="5" t="n">
        <v>1.0</v>
      </c>
      <c r="D108" s="6" t="n">
        <v>14.75</v>
      </c>
      <c r="E108" s="6" t="n">
        <v>14.75</v>
      </c>
      <c r="F108" s="10" t="n">
        <v>36.75</v>
      </c>
      <c r="G108" s="6" t="n">
        <v>36.75</v>
      </c>
      <c r="H108" s="5" t="s">
        <v>415</v>
      </c>
      <c r="I108" s="3" t="s">
        <v>1196</v>
      </c>
      <c r="J108" s="11" t="s">
        <v>45</v>
      </c>
      <c r="K108" s="17" t="n">
        <v>4.572500000000001</v>
      </c>
      <c r="L108" s="17" t="n">
        <v>4.572500000000001</v>
      </c>
      <c r="M108" s="3" t="s">
        <v>20</v>
      </c>
      <c r="N108" s="3" t="s">
        <v>283</v>
      </c>
      <c r="O108" s="3" t="s">
        <v>264</v>
      </c>
      <c r="P108" s="12" t="str">
        <f>HYPERLINK("http://slimages.macys.com/is/image/MCY/2315146 ")</f>
      </c>
    </row>
    <row r="109" spans="1:16" ht="24.75">
      <c r="A109" s="9" t="s">
        <v>416</v>
      </c>
      <c r="B109" s="3" t="s">
        <v>417</v>
      </c>
      <c r="C109" s="5" t="n">
        <v>1.0</v>
      </c>
      <c r="D109" s="6" t="n">
        <v>14.75</v>
      </c>
      <c r="E109" s="6" t="n">
        <v>14.75</v>
      </c>
      <c r="F109" s="10" t="n">
        <v>36.75</v>
      </c>
      <c r="G109" s="6" t="n">
        <v>36.75</v>
      </c>
      <c r="H109" s="5" t="s">
        <v>418</v>
      </c>
      <c r="I109" s="3" t="s">
        <v>1196</v>
      </c>
      <c r="J109" s="11" t="s">
        <v>35</v>
      </c>
      <c r="K109" s="17" t="n">
        <v>4.572500000000001</v>
      </c>
      <c r="L109" s="17" t="n">
        <v>4.572500000000001</v>
      </c>
      <c r="M109" s="3" t="s">
        <v>20</v>
      </c>
      <c r="N109" s="3" t="s">
        <v>283</v>
      </c>
      <c r="O109" s="3" t="s">
        <v>264</v>
      </c>
      <c r="P109" s="12" t="str">
        <f>HYPERLINK("http://slimages.macys.com/is/image/MCY/2094153 ")</f>
      </c>
    </row>
    <row r="110" spans="1:16" ht="24.75">
      <c r="A110" s="9" t="s">
        <v>419</v>
      </c>
      <c r="B110" s="3" t="s">
        <v>420</v>
      </c>
      <c r="C110" s="5" t="n">
        <v>1.0</v>
      </c>
      <c r="D110" s="6" t="n">
        <v>14.75</v>
      </c>
      <c r="E110" s="6" t="n">
        <v>14.75</v>
      </c>
      <c r="F110" s="10" t="n">
        <v>36.75</v>
      </c>
      <c r="G110" s="6" t="n">
        <v>36.75</v>
      </c>
      <c r="H110" s="5" t="s">
        <v>421</v>
      </c>
      <c r="I110" s="3" t="s">
        <v>1196</v>
      </c>
      <c r="J110" s="11" t="s">
        <v>81</v>
      </c>
      <c r="K110" s="17" t="n">
        <v>4.572500000000001</v>
      </c>
      <c r="L110" s="17" t="n">
        <v>4.572500000000001</v>
      </c>
      <c r="M110" s="3" t="s">
        <v>20</v>
      </c>
      <c r="N110" s="3" t="s">
        <v>283</v>
      </c>
      <c r="O110" s="3" t="s">
        <v>264</v>
      </c>
      <c r="P110" s="12" t="str">
        <f>HYPERLINK("http://slimages.macys.com/is/image/MCY/2302935 ")</f>
      </c>
    </row>
    <row r="111" spans="1:16" ht="24.75">
      <c r="A111" s="9" t="s">
        <v>422</v>
      </c>
      <c r="B111" s="3" t="s">
        <v>423</v>
      </c>
      <c r="C111" s="5" t="n">
        <v>1.0</v>
      </c>
      <c r="D111" s="6" t="n">
        <v>14.7</v>
      </c>
      <c r="E111" s="6" t="n">
        <v>14.7</v>
      </c>
      <c r="F111" s="10" t="n">
        <v>36.75</v>
      </c>
      <c r="G111" s="6" t="n">
        <v>36.75</v>
      </c>
      <c r="H111" s="5" t="n">
        <v>8860054.0</v>
      </c>
      <c r="I111" s="3" t="s">
        <v>424</v>
      </c>
      <c r="J111" s="11" t="s">
        <v>45</v>
      </c>
      <c r="K111" s="17" t="n">
        <v>4.557</v>
      </c>
      <c r="L111" s="17" t="n">
        <v>4.557</v>
      </c>
      <c r="M111" s="3" t="s">
        <v>20</v>
      </c>
      <c r="N111" s="3" t="s">
        <v>229</v>
      </c>
      <c r="O111" s="3" t="s">
        <v>233</v>
      </c>
      <c r="P111" s="12" t="str">
        <f>HYPERLINK("http://slimages.macys.com/is/image/MCY/1997454 ")</f>
      </c>
    </row>
    <row r="112" spans="1:16">
      <c r="A112" s="9" t="s">
        <v>425</v>
      </c>
      <c r="B112" s="3" t="s">
        <v>426</v>
      </c>
      <c r="C112" s="5" t="n">
        <v>1.0</v>
      </c>
      <c r="D112" s="6" t="n">
        <v>14.7</v>
      </c>
      <c r="E112" s="6" t="n">
        <v>14.7</v>
      </c>
      <c r="F112" s="10" t="n">
        <v>36.75</v>
      </c>
      <c r="G112" s="6" t="n">
        <v>36.75</v>
      </c>
      <c r="H112" s="5" t="n">
        <v>8860053.0</v>
      </c>
      <c r="I112" s="3" t="s">
        <v>171</v>
      </c>
      <c r="J112" s="11" t="s">
        <v>72</v>
      </c>
      <c r="K112" s="17" t="n">
        <v>4.557</v>
      </c>
      <c r="L112" s="17" t="n">
        <v>4.557</v>
      </c>
      <c r="M112" s="3" t="s">
        <v>20</v>
      </c>
      <c r="N112" s="3" t="s">
        <v>229</v>
      </c>
      <c r="O112" s="3" t="s">
        <v>233</v>
      </c>
      <c r="P112" s="12" t="str">
        <f>HYPERLINK("http://slimages.macys.com/is/image/MCY/1997439 ")</f>
      </c>
    </row>
    <row r="113" spans="1:16">
      <c r="A113" s="9" t="s">
        <v>427</v>
      </c>
      <c r="B113" s="3" t="s">
        <v>428</v>
      </c>
      <c r="C113" s="5" t="n">
        <v>1.0</v>
      </c>
      <c r="D113" s="6" t="n">
        <v>14.7</v>
      </c>
      <c r="E113" s="6" t="n">
        <v>14.7</v>
      </c>
      <c r="F113" s="10" t="n">
        <v>29.99</v>
      </c>
      <c r="G113" s="6" t="n">
        <v>29.99</v>
      </c>
      <c r="H113" s="5" t="s">
        <v>429</v>
      </c>
      <c r="I113" s="3" t="s">
        <v>56</v>
      </c>
      <c r="J113" s="11" t="s">
        <v>35</v>
      </c>
      <c r="K113" s="17" t="n">
        <v>4.557</v>
      </c>
      <c r="L113" s="17" t="n">
        <v>4.557</v>
      </c>
      <c r="M113" s="3" t="s">
        <v>20</v>
      </c>
      <c r="N113" s="3" t="s">
        <v>290</v>
      </c>
      <c r="O113" s="3" t="s">
        <v>230</v>
      </c>
      <c r="P113" s="12" t="str">
        <f>HYPERLINK("http://slimages.macys.com/is/image/MCY/2278395 ")</f>
      </c>
    </row>
    <row r="114" spans="1:16" ht="24.75">
      <c r="A114" s="9" t="s">
        <v>430</v>
      </c>
      <c r="B114" s="3" t="s">
        <v>431</v>
      </c>
      <c r="C114" s="5" t="n">
        <v>1.0</v>
      </c>
      <c r="D114" s="6" t="n">
        <v>14.63</v>
      </c>
      <c r="E114" s="6" t="n">
        <v>14.63</v>
      </c>
      <c r="F114" s="10" t="n">
        <v>39.0</v>
      </c>
      <c r="G114" s="6" t="n">
        <v>39.0</v>
      </c>
      <c r="H114" s="5" t="s">
        <v>432</v>
      </c>
      <c r="I114" s="3" t="s">
        <v>208</v>
      </c>
      <c r="J114" s="11" t="s">
        <v>76</v>
      </c>
      <c r="K114" s="17" t="n">
        <v>4.5353</v>
      </c>
      <c r="L114" s="17" t="n">
        <v>4.5353</v>
      </c>
      <c r="M114" s="3" t="s">
        <v>20</v>
      </c>
      <c r="N114" s="3" t="s">
        <v>95</v>
      </c>
      <c r="O114" s="3" t="s">
        <v>96</v>
      </c>
      <c r="P114" s="12" t="str">
        <f>HYPERLINK("http://slimages.macys.com/is/image/MCY/2067866 ")</f>
      </c>
    </row>
    <row r="115" spans="1:16" ht="24.75">
      <c r="A115" s="9" t="s">
        <v>433</v>
      </c>
      <c r="B115" s="3" t="s">
        <v>434</v>
      </c>
      <c r="C115" s="5" t="n">
        <v>1.0</v>
      </c>
      <c r="D115" s="6" t="n">
        <v>14.5</v>
      </c>
      <c r="E115" s="6" t="n">
        <v>14.5</v>
      </c>
      <c r="F115" s="10" t="n">
        <v>44.25</v>
      </c>
      <c r="G115" s="6" t="n">
        <v>44.25</v>
      </c>
      <c r="H115" s="5" t="s">
        <v>435</v>
      </c>
      <c r="I115" s="3" t="s">
        <v>258</v>
      </c>
      <c r="J115" s="11" t="s">
        <v>381</v>
      </c>
      <c r="K115" s="17" t="n">
        <v>4.495</v>
      </c>
      <c r="L115" s="17" t="n">
        <v>4.495</v>
      </c>
      <c r="M115" s="3" t="s">
        <v>20</v>
      </c>
      <c r="N115" s="3" t="s">
        <v>436</v>
      </c>
      <c r="O115" s="3" t="s">
        <v>287</v>
      </c>
      <c r="P115" s="12" t="str">
        <f>HYPERLINK("http://slimages.macys.com/is/image/MCY/1634111 ")</f>
      </c>
    </row>
    <row r="116" spans="1:16" ht="24.75">
      <c r="A116" s="9" t="s">
        <v>437</v>
      </c>
      <c r="B116" s="3" t="s">
        <v>438</v>
      </c>
      <c r="C116" s="5" t="n">
        <v>1.0</v>
      </c>
      <c r="D116" s="6" t="n">
        <v>14.5</v>
      </c>
      <c r="E116" s="6" t="n">
        <v>14.5</v>
      </c>
      <c r="F116" s="10" t="n">
        <v>36.0</v>
      </c>
      <c r="G116" s="6" t="n">
        <v>36.0</v>
      </c>
      <c r="H116" s="5" t="s">
        <v>439</v>
      </c>
      <c r="I116" s="3" t="s">
        <v>440</v>
      </c>
      <c r="J116" s="11" t="s">
        <v>81</v>
      </c>
      <c r="K116" s="17" t="n">
        <v>4.495</v>
      </c>
      <c r="L116" s="17" t="n">
        <v>4.495</v>
      </c>
      <c r="M116" s="3" t="s">
        <v>20</v>
      </c>
      <c r="N116" s="3" t="s">
        <v>290</v>
      </c>
      <c r="O116" s="3" t="s">
        <v>362</v>
      </c>
      <c r="P116" s="12" t="str">
        <f>HYPERLINK("http://slimages.macys.com/is/image/MCY/1759735 ")</f>
      </c>
    </row>
    <row r="117" spans="1:16">
      <c r="A117" s="9" t="s">
        <v>441</v>
      </c>
      <c r="B117" s="3" t="s">
        <v>442</v>
      </c>
      <c r="C117" s="5" t="n">
        <v>1.0</v>
      </c>
      <c r="D117" s="6" t="n">
        <v>14.5</v>
      </c>
      <c r="E117" s="6" t="n">
        <v>14.5</v>
      </c>
      <c r="F117" s="10" t="n">
        <v>42.0</v>
      </c>
      <c r="G117" s="6" t="n">
        <v>42.0</v>
      </c>
      <c r="H117" s="5" t="s">
        <v>443</v>
      </c>
      <c r="I117" s="3" t="s">
        <v>56</v>
      </c>
      <c r="J117" s="11" t="s">
        <v>81</v>
      </c>
      <c r="K117" s="17" t="n">
        <v>4.495</v>
      </c>
      <c r="L117" s="17" t="n">
        <v>4.495</v>
      </c>
      <c r="M117" s="3" t="s">
        <v>20</v>
      </c>
      <c r="N117" s="3" t="s">
        <v>229</v>
      </c>
      <c r="O117" s="3" t="s">
        <v>287</v>
      </c>
      <c r="P117" s="12" t="str">
        <f>HYPERLINK("http://slimages.macys.com/is/image/MCY/1981873 ")</f>
      </c>
    </row>
    <row r="118" spans="1:16" ht="24.75">
      <c r="A118" s="9" t="s">
        <v>444</v>
      </c>
      <c r="B118" s="3" t="s">
        <v>445</v>
      </c>
      <c r="C118" s="5" t="n">
        <v>1.0</v>
      </c>
      <c r="D118" s="6" t="n">
        <v>14.5</v>
      </c>
      <c r="E118" s="6" t="n">
        <v>14.5</v>
      </c>
      <c r="F118" s="10" t="n">
        <v>42.0</v>
      </c>
      <c r="G118" s="6" t="n">
        <v>42.0</v>
      </c>
      <c r="H118" s="5" t="s">
        <v>443</v>
      </c>
      <c r="I118" s="3" t="s">
        <v>56</v>
      </c>
      <c r="J118" s="11" t="s">
        <v>76</v>
      </c>
      <c r="K118" s="17" t="n">
        <v>4.495</v>
      </c>
      <c r="L118" s="17" t="n">
        <v>4.495</v>
      </c>
      <c r="M118" s="3" t="s">
        <v>20</v>
      </c>
      <c r="N118" s="3" t="s">
        <v>229</v>
      </c>
      <c r="O118" s="3" t="s">
        <v>287</v>
      </c>
      <c r="P118" s="12" t="str">
        <f>HYPERLINK("http://slimages.macys.com/is/image/MCY/1981873 ")</f>
      </c>
    </row>
    <row r="119" spans="1:16" ht="24.75">
      <c r="A119" s="9" t="s">
        <v>446</v>
      </c>
      <c r="B119" s="3" t="s">
        <v>447</v>
      </c>
      <c r="C119" s="5" t="n">
        <v>1.0</v>
      </c>
      <c r="D119" s="6" t="n">
        <v>14.5</v>
      </c>
      <c r="E119" s="6" t="n">
        <v>14.5</v>
      </c>
      <c r="F119" s="10" t="n">
        <v>44.25</v>
      </c>
      <c r="G119" s="6" t="n">
        <v>44.25</v>
      </c>
      <c r="H119" s="5" t="s">
        <v>435</v>
      </c>
      <c r="I119" s="3" t="s">
        <v>202</v>
      </c>
      <c r="J119" s="11" t="s">
        <v>381</v>
      </c>
      <c r="K119" s="17" t="n">
        <v>4.495</v>
      </c>
      <c r="L119" s="17" t="n">
        <v>4.495</v>
      </c>
      <c r="M119" s="3" t="s">
        <v>20</v>
      </c>
      <c r="N119" s="3" t="s">
        <v>436</v>
      </c>
      <c r="O119" s="3" t="s">
        <v>287</v>
      </c>
      <c r="P119" s="12" t="str">
        <f>HYPERLINK("http://slimages.macys.com/is/image/MCY/1634111 ")</f>
      </c>
    </row>
    <row r="120" spans="1:16" ht="24.75">
      <c r="A120" s="9" t="s">
        <v>448</v>
      </c>
      <c r="B120" s="3" t="s">
        <v>449</v>
      </c>
      <c r="C120" s="5" t="n">
        <v>1.0</v>
      </c>
      <c r="D120" s="6" t="n">
        <v>14.5</v>
      </c>
      <c r="E120" s="6" t="n">
        <v>14.5</v>
      </c>
      <c r="F120" s="10" t="n">
        <v>36.75</v>
      </c>
      <c r="G120" s="6" t="n">
        <v>36.75</v>
      </c>
      <c r="H120" s="5" t="s">
        <v>450</v>
      </c>
      <c r="I120" s="3" t="s">
        <v>105</v>
      </c>
      <c r="J120" s="11" t="s">
        <v>45</v>
      </c>
      <c r="K120" s="17" t="n">
        <v>4.495</v>
      </c>
      <c r="L120" s="17" t="n">
        <v>4.495</v>
      </c>
      <c r="M120" s="3" t="s">
        <v>20</v>
      </c>
      <c r="N120" s="3" t="s">
        <v>283</v>
      </c>
      <c r="O120" s="3" t="s">
        <v>264</v>
      </c>
      <c r="P120" s="12" t="str">
        <f>HYPERLINK("http://slimages.macys.com/is/image/MCY/2237574 ")</f>
      </c>
    </row>
    <row r="121" spans="1:16" ht="24.75">
      <c r="A121" s="9" t="s">
        <v>451</v>
      </c>
      <c r="B121" s="3" t="s">
        <v>452</v>
      </c>
      <c r="C121" s="5" t="n">
        <v>1.0</v>
      </c>
      <c r="D121" s="6" t="n">
        <v>14.5</v>
      </c>
      <c r="E121" s="6" t="n">
        <v>14.5</v>
      </c>
      <c r="F121" s="10" t="n">
        <v>36.75</v>
      </c>
      <c r="G121" s="6" t="n">
        <v>36.75</v>
      </c>
      <c r="H121" s="5" t="s">
        <v>453</v>
      </c>
      <c r="I121" s="3" t="s">
        <v>71</v>
      </c>
      <c r="J121" s="11" t="s">
        <v>72</v>
      </c>
      <c r="K121" s="17" t="n">
        <v>4.495</v>
      </c>
      <c r="L121" s="17" t="n">
        <v>4.495</v>
      </c>
      <c r="M121" s="3" t="s">
        <v>20</v>
      </c>
      <c r="N121" s="3" t="s">
        <v>283</v>
      </c>
      <c r="O121" s="3" t="s">
        <v>357</v>
      </c>
      <c r="P121" s="12" t="str">
        <f>HYPERLINK("http://slimages.macys.com/is/image/MCY/2368364 ")</f>
      </c>
    </row>
    <row r="122" spans="1:16" ht="24.75">
      <c r="A122" s="9" t="s">
        <v>454</v>
      </c>
      <c r="B122" s="3" t="s">
        <v>455</v>
      </c>
      <c r="C122" s="5" t="n">
        <v>1.0</v>
      </c>
      <c r="D122" s="6" t="n">
        <v>14.5</v>
      </c>
      <c r="E122" s="6" t="n">
        <v>14.5</v>
      </c>
      <c r="F122" s="10" t="n">
        <v>36.75</v>
      </c>
      <c r="G122" s="6" t="n">
        <v>36.75</v>
      </c>
      <c r="H122" s="5" t="s">
        <v>456</v>
      </c>
      <c r="I122" s="3" t="s">
        <v>1196</v>
      </c>
      <c r="J122" s="11" t="s">
        <v>76</v>
      </c>
      <c r="K122" s="17" t="n">
        <v>4.495</v>
      </c>
      <c r="L122" s="17" t="n">
        <v>4.495</v>
      </c>
      <c r="M122" s="3" t="s">
        <v>20</v>
      </c>
      <c r="N122" s="3" t="s">
        <v>283</v>
      </c>
      <c r="O122" s="3" t="s">
        <v>264</v>
      </c>
      <c r="P122" s="12" t="str">
        <f>HYPERLINK("http://slimages.macys.com/is/image/MCY/2327894 ")</f>
      </c>
    </row>
    <row r="123" spans="1:16">
      <c r="A123" s="9" t="s">
        <v>457</v>
      </c>
      <c r="B123" s="3" t="s">
        <v>458</v>
      </c>
      <c r="C123" s="5" t="n">
        <v>1.0</v>
      </c>
      <c r="D123" s="6" t="n">
        <v>14.5</v>
      </c>
      <c r="E123" s="6" t="n">
        <v>14.5</v>
      </c>
      <c r="F123" s="10" t="n">
        <v>36.75</v>
      </c>
      <c r="G123" s="6" t="n">
        <v>36.75</v>
      </c>
      <c r="H123" s="5" t="s">
        <v>459</v>
      </c>
      <c r="I123" s="3" t="s">
        <v>402</v>
      </c>
      <c r="J123" s="11" t="s">
        <v>1196</v>
      </c>
      <c r="K123" s="17" t="n">
        <v>4.495</v>
      </c>
      <c r="L123" s="17" t="n">
        <v>4.495</v>
      </c>
      <c r="M123" s="3" t="s">
        <v>20</v>
      </c>
      <c r="N123" s="3" t="s">
        <v>460</v>
      </c>
      <c r="O123" s="3" t="s">
        <v>264</v>
      </c>
      <c r="P123" s="12" t="str">
        <f>HYPERLINK("http://slimages.macys.com/is/image/MCY/1504779 ")</f>
      </c>
    </row>
    <row r="124" spans="1:16" ht="24.75">
      <c r="A124" s="9" t="s">
        <v>461</v>
      </c>
      <c r="B124" s="3" t="s">
        <v>462</v>
      </c>
      <c r="C124" s="5" t="n">
        <v>1.0</v>
      </c>
      <c r="D124" s="6" t="n">
        <v>14.5</v>
      </c>
      <c r="E124" s="6" t="n">
        <v>14.5</v>
      </c>
      <c r="F124" s="10" t="n">
        <v>36.75</v>
      </c>
      <c r="G124" s="6" t="n">
        <v>36.75</v>
      </c>
      <c r="H124" s="5" t="s">
        <v>463</v>
      </c>
      <c r="I124" s="3" t="s">
        <v>71</v>
      </c>
      <c r="J124" s="11" t="s">
        <v>1196</v>
      </c>
      <c r="K124" s="17" t="n">
        <v>4.495</v>
      </c>
      <c r="L124" s="17" t="n">
        <v>4.495</v>
      </c>
      <c r="M124" s="3" t="s">
        <v>20</v>
      </c>
      <c r="N124" s="3" t="s">
        <v>460</v>
      </c>
      <c r="O124" s="3" t="s">
        <v>264</v>
      </c>
      <c r="P124" s="12" t="str">
        <f>HYPERLINK("http://slimages.macys.com/is/image/MCY/1893371 ")</f>
      </c>
    </row>
    <row r="125" spans="1:16" ht="24.75">
      <c r="A125" s="9" t="s">
        <v>464</v>
      </c>
      <c r="B125" s="3" t="s">
        <v>465</v>
      </c>
      <c r="C125" s="5" t="n">
        <v>1.0</v>
      </c>
      <c r="D125" s="6" t="n">
        <v>14.47</v>
      </c>
      <c r="E125" s="6" t="n">
        <v>14.47</v>
      </c>
      <c r="F125" s="10" t="n">
        <v>24.98</v>
      </c>
      <c r="G125" s="6" t="n">
        <v>24.98</v>
      </c>
      <c r="H125" s="5" t="s">
        <v>466</v>
      </c>
      <c r="I125" s="3" t="s">
        <v>105</v>
      </c>
      <c r="J125" s="11" t="s">
        <v>467</v>
      </c>
      <c r="K125" s="17" t="n">
        <v>4.4857000000000005</v>
      </c>
      <c r="L125" s="17" t="n">
        <v>4.4857000000000005</v>
      </c>
      <c r="M125" s="3" t="s">
        <v>20</v>
      </c>
      <c r="N125" s="3" t="s">
        <v>412</v>
      </c>
      <c r="O125" s="3" t="s">
        <v>404</v>
      </c>
      <c r="P125" s="12" t="str">
        <f>HYPERLINK("http://slimages.macys.com/is/image/MCY/1866886 ")</f>
      </c>
    </row>
    <row r="126" spans="1:16" ht="24.75">
      <c r="A126" s="9" t="s">
        <v>468</v>
      </c>
      <c r="B126" s="3" t="s">
        <v>469</v>
      </c>
      <c r="C126" s="5" t="n">
        <v>1.0</v>
      </c>
      <c r="D126" s="6" t="n">
        <v>14.0</v>
      </c>
      <c r="E126" s="6" t="n">
        <v>14.0</v>
      </c>
      <c r="F126" s="10" t="n">
        <v>36.75</v>
      </c>
      <c r="G126" s="6" t="n">
        <v>36.75</v>
      </c>
      <c r="H126" s="5" t="s">
        <v>470</v>
      </c>
      <c r="I126" s="3" t="s">
        <v>34</v>
      </c>
      <c r="J126" s="11" t="s">
        <v>81</v>
      </c>
      <c r="K126" s="17" t="n">
        <v>4.34</v>
      </c>
      <c r="L126" s="17" t="n">
        <v>4.34</v>
      </c>
      <c r="M126" s="3" t="s">
        <v>20</v>
      </c>
      <c r="N126" s="3" t="s">
        <v>243</v>
      </c>
      <c r="O126" s="3" t="s">
        <v>244</v>
      </c>
      <c r="P126" s="12" t="str">
        <f>HYPERLINK("http://slimages.macys.com/is/image/MCY/2197472 ")</f>
      </c>
    </row>
    <row r="127" spans="1:16" ht="24.75">
      <c r="A127" s="9" t="s">
        <v>471</v>
      </c>
      <c r="B127" s="3" t="s">
        <v>472</v>
      </c>
      <c r="C127" s="5" t="n">
        <v>1.0</v>
      </c>
      <c r="D127" s="6" t="n">
        <v>14.0</v>
      </c>
      <c r="E127" s="6" t="n">
        <v>14.0</v>
      </c>
      <c r="F127" s="10" t="n">
        <v>36.75</v>
      </c>
      <c r="G127" s="6" t="n">
        <v>36.75</v>
      </c>
      <c r="H127" s="5" t="s">
        <v>473</v>
      </c>
      <c r="I127" s="3" t="s">
        <v>258</v>
      </c>
      <c r="J127" s="11" t="s">
        <v>35</v>
      </c>
      <c r="K127" s="17" t="n">
        <v>4.34</v>
      </c>
      <c r="L127" s="17" t="n">
        <v>4.34</v>
      </c>
      <c r="M127" s="3" t="s">
        <v>20</v>
      </c>
      <c r="N127" s="3" t="s">
        <v>243</v>
      </c>
      <c r="O127" s="3" t="s">
        <v>244</v>
      </c>
      <c r="P127" s="12" t="str">
        <f>HYPERLINK("http://slimages.macys.com/is/image/MCY/2278145 ")</f>
      </c>
    </row>
    <row r="128" spans="1:16" ht="24.75">
      <c r="A128" s="9" t="s">
        <v>474</v>
      </c>
      <c r="B128" s="3" t="s">
        <v>475</v>
      </c>
      <c r="C128" s="5" t="n">
        <v>2.0</v>
      </c>
      <c r="D128" s="6" t="n">
        <v>14.0</v>
      </c>
      <c r="E128" s="6" t="n">
        <v>28.0</v>
      </c>
      <c r="F128" s="10" t="n">
        <v>39.99</v>
      </c>
      <c r="G128" s="6" t="n">
        <v>79.98</v>
      </c>
      <c r="H128" s="5" t="n">
        <v>8870182.0</v>
      </c>
      <c r="I128" s="3" t="s">
        <v>71</v>
      </c>
      <c r="J128" s="11" t="s">
        <v>45</v>
      </c>
      <c r="K128" s="17" t="n">
        <v>4.34</v>
      </c>
      <c r="L128" s="17" t="n">
        <v>8.68</v>
      </c>
      <c r="M128" s="3" t="s">
        <v>20</v>
      </c>
      <c r="N128" s="3" t="s">
        <v>229</v>
      </c>
      <c r="O128" s="3" t="s">
        <v>233</v>
      </c>
      <c r="P128" s="12" t="str">
        <f>HYPERLINK("http://slimages.macys.com/is/image/MCY/2141946 ")</f>
      </c>
    </row>
    <row r="129" spans="1:16" ht="24.75">
      <c r="A129" s="9" t="s">
        <v>476</v>
      </c>
      <c r="B129" s="3" t="s">
        <v>477</v>
      </c>
      <c r="C129" s="5" t="n">
        <v>1.0</v>
      </c>
      <c r="D129" s="6" t="n">
        <v>14.0</v>
      </c>
      <c r="E129" s="6" t="n">
        <v>14.0</v>
      </c>
      <c r="F129" s="10" t="n">
        <v>36.99</v>
      </c>
      <c r="G129" s="6" t="n">
        <v>36.99</v>
      </c>
      <c r="H129" s="5" t="s">
        <v>478</v>
      </c>
      <c r="I129" s="3" t="s">
        <v>71</v>
      </c>
      <c r="J129" s="11" t="s">
        <v>177</v>
      </c>
      <c r="K129" s="17" t="n">
        <v>4.34</v>
      </c>
      <c r="L129" s="17" t="n">
        <v>4.34</v>
      </c>
      <c r="M129" s="3" t="s">
        <v>20</v>
      </c>
      <c r="N129" s="3" t="s">
        <v>229</v>
      </c>
      <c r="O129" s="3" t="s">
        <v>287</v>
      </c>
      <c r="P129" s="12" t="str">
        <f>HYPERLINK("http://slimages.macys.com/is/image/MCY/2328777 ")</f>
      </c>
    </row>
    <row r="130" spans="1:16" ht="24.75">
      <c r="A130" s="9" t="s">
        <v>479</v>
      </c>
      <c r="B130" s="3" t="s">
        <v>480</v>
      </c>
      <c r="C130" s="5" t="n">
        <v>1.0</v>
      </c>
      <c r="D130" s="6" t="n">
        <v>14.0</v>
      </c>
      <c r="E130" s="6" t="n">
        <v>14.0</v>
      </c>
      <c r="F130" s="10" t="n">
        <v>34.5</v>
      </c>
      <c r="G130" s="6" t="n">
        <v>34.5</v>
      </c>
      <c r="H130" s="5" t="s">
        <v>481</v>
      </c>
      <c r="I130" s="3" t="s">
        <v>71</v>
      </c>
      <c r="J130" s="11" t="s">
        <v>76</v>
      </c>
      <c r="K130" s="17" t="n">
        <v>4.34</v>
      </c>
      <c r="L130" s="17" t="n">
        <v>4.34</v>
      </c>
      <c r="M130" s="3" t="s">
        <v>20</v>
      </c>
      <c r="N130" s="3" t="s">
        <v>283</v>
      </c>
      <c r="O130" s="3" t="s">
        <v>264</v>
      </c>
      <c r="P130" s="12" t="str">
        <f>HYPERLINK("http://slimages.macys.com/is/image/MCY/1967967 ")</f>
      </c>
    </row>
    <row r="131" spans="1:16" ht="24.75">
      <c r="A131" s="9" t="s">
        <v>482</v>
      </c>
      <c r="B131" s="3" t="s">
        <v>483</v>
      </c>
      <c r="C131" s="5" t="n">
        <v>2.0</v>
      </c>
      <c r="D131" s="6" t="n">
        <v>14.0</v>
      </c>
      <c r="E131" s="6" t="n">
        <v>28.0</v>
      </c>
      <c r="F131" s="10" t="n">
        <v>36.99</v>
      </c>
      <c r="G131" s="6" t="n">
        <v>73.98</v>
      </c>
      <c r="H131" s="5" t="s">
        <v>484</v>
      </c>
      <c r="I131" s="3" t="s">
        <v>71</v>
      </c>
      <c r="J131" s="11" t="s">
        <v>45</v>
      </c>
      <c r="K131" s="17" t="n">
        <v>4.34</v>
      </c>
      <c r="L131" s="17" t="n">
        <v>8.68</v>
      </c>
      <c r="M131" s="3" t="s">
        <v>20</v>
      </c>
      <c r="N131" s="3" t="s">
        <v>290</v>
      </c>
      <c r="O131" s="3" t="s">
        <v>485</v>
      </c>
      <c r="P131" s="12" t="str">
        <f>HYPERLINK("http://slimages.macys.com/is/image/MCY/2301639 ")</f>
      </c>
    </row>
    <row r="132" spans="1:16" ht="24.75">
      <c r="A132" s="9" t="s">
        <v>486</v>
      </c>
      <c r="B132" s="3" t="s">
        <v>487</v>
      </c>
      <c r="C132" s="5" t="n">
        <v>1.0</v>
      </c>
      <c r="D132" s="6" t="n">
        <v>14.0</v>
      </c>
      <c r="E132" s="6" t="n">
        <v>14.0</v>
      </c>
      <c r="F132" s="10" t="n">
        <v>36.75</v>
      </c>
      <c r="G132" s="6" t="n">
        <v>36.75</v>
      </c>
      <c r="H132" s="5" t="s">
        <v>473</v>
      </c>
      <c r="I132" s="3" t="s">
        <v>258</v>
      </c>
      <c r="J132" s="11" t="s">
        <v>45</v>
      </c>
      <c r="K132" s="17" t="n">
        <v>4.34</v>
      </c>
      <c r="L132" s="17" t="n">
        <v>4.34</v>
      </c>
      <c r="M132" s="3" t="s">
        <v>20</v>
      </c>
      <c r="N132" s="3" t="s">
        <v>243</v>
      </c>
      <c r="O132" s="3" t="s">
        <v>244</v>
      </c>
      <c r="P132" s="12" t="str">
        <f>HYPERLINK("http://slimages.macys.com/is/image/MCY/2278145 ")</f>
      </c>
    </row>
    <row r="133" spans="1:16">
      <c r="A133" s="9" t="s">
        <v>488</v>
      </c>
      <c r="B133" s="3" t="s">
        <v>489</v>
      </c>
      <c r="C133" s="5" t="n">
        <v>2.0</v>
      </c>
      <c r="D133" s="6" t="n">
        <v>13.75</v>
      </c>
      <c r="E133" s="6" t="n">
        <v>27.5</v>
      </c>
      <c r="F133" s="10" t="n">
        <v>36.75</v>
      </c>
      <c r="G133" s="6" t="n">
        <v>73.5</v>
      </c>
      <c r="H133" s="5" t="s">
        <v>490</v>
      </c>
      <c r="I133" s="3" t="s">
        <v>1196</v>
      </c>
      <c r="J133" s="11" t="s">
        <v>45</v>
      </c>
      <c r="K133" s="17" t="n">
        <v>4.2625</v>
      </c>
      <c r="L133" s="17" t="n">
        <v>8.525</v>
      </c>
      <c r="M133" s="3" t="s">
        <v>20</v>
      </c>
      <c r="N133" s="3" t="s">
        <v>491</v>
      </c>
      <c r="O133" s="3" t="s">
        <v>492</v>
      </c>
      <c r="P133" s="12" t="str">
        <f>HYPERLINK("http://slimages.macys.com/is/image/MCY/2212198 ")</f>
      </c>
    </row>
    <row r="134" spans="1:16" ht="24.75">
      <c r="A134" s="9" t="s">
        <v>493</v>
      </c>
      <c r="B134" s="3" t="s">
        <v>494</v>
      </c>
      <c r="C134" s="5" t="n">
        <v>1.0</v>
      </c>
      <c r="D134" s="6" t="n">
        <v>13.71</v>
      </c>
      <c r="E134" s="6" t="n">
        <v>13.71</v>
      </c>
      <c r="F134" s="10" t="n">
        <v>34.5</v>
      </c>
      <c r="G134" s="6" t="n">
        <v>34.5</v>
      </c>
      <c r="H134" s="5" t="s">
        <v>495</v>
      </c>
      <c r="I134" s="3" t="s">
        <v>71</v>
      </c>
      <c r="J134" s="11" t="s">
        <v>496</v>
      </c>
      <c r="K134" s="17" t="n">
        <v>4.2501</v>
      </c>
      <c r="L134" s="17" t="n">
        <v>4.2501</v>
      </c>
      <c r="M134" s="3" t="s">
        <v>20</v>
      </c>
      <c r="N134" s="3" t="s">
        <v>412</v>
      </c>
      <c r="O134" s="3" t="s">
        <v>404</v>
      </c>
      <c r="P134" s="12" t="str">
        <f>HYPERLINK("http://slimages.macys.com/is/image/MCY/2262738 ")</f>
      </c>
    </row>
    <row r="135" spans="1:16" ht="24.75">
      <c r="A135" s="9" t="s">
        <v>497</v>
      </c>
      <c r="B135" s="3" t="s">
        <v>498</v>
      </c>
      <c r="C135" s="5" t="n">
        <v>1.0</v>
      </c>
      <c r="D135" s="6" t="n">
        <v>13.7</v>
      </c>
      <c r="E135" s="6" t="n">
        <v>13.7</v>
      </c>
      <c r="F135" s="10" t="n">
        <v>33.0</v>
      </c>
      <c r="G135" s="6" t="n">
        <v>33.0</v>
      </c>
      <c r="H135" s="5" t="s">
        <v>499</v>
      </c>
      <c r="I135" s="3" t="s">
        <v>1196</v>
      </c>
      <c r="J135" s="11" t="s">
        <v>262</v>
      </c>
      <c r="K135" s="17" t="n">
        <v>4.247000000000001</v>
      </c>
      <c r="L135" s="17" t="n">
        <v>4.247000000000001</v>
      </c>
      <c r="M135" s="3" t="s">
        <v>20</v>
      </c>
      <c r="N135" s="3" t="s">
        <v>263</v>
      </c>
      <c r="O135" s="3" t="s">
        <v>264</v>
      </c>
      <c r="P135" s="12" t="str">
        <f>HYPERLINK("http://slimages.macys.com/is/image/MCY/2167762 ")</f>
      </c>
    </row>
    <row r="136" spans="1:16" ht="24.75">
      <c r="A136" s="9" t="s">
        <v>500</v>
      </c>
      <c r="B136" s="3" t="s">
        <v>501</v>
      </c>
      <c r="C136" s="5" t="n">
        <v>1.0</v>
      </c>
      <c r="D136" s="6" t="n">
        <v>13.5</v>
      </c>
      <c r="E136" s="6" t="n">
        <v>13.5</v>
      </c>
      <c r="F136" s="10" t="n">
        <v>36.75</v>
      </c>
      <c r="G136" s="6" t="n">
        <v>36.75</v>
      </c>
      <c r="H136" s="5" t="s">
        <v>502</v>
      </c>
      <c r="I136" s="3" t="s">
        <v>34</v>
      </c>
      <c r="J136" s="11" t="s">
        <v>45</v>
      </c>
      <c r="K136" s="17" t="n">
        <v>4.1850000000000005</v>
      </c>
      <c r="L136" s="17" t="n">
        <v>4.1850000000000005</v>
      </c>
      <c r="M136" s="3" t="s">
        <v>20</v>
      </c>
      <c r="N136" s="3" t="s">
        <v>243</v>
      </c>
      <c r="O136" s="3" t="s">
        <v>244</v>
      </c>
      <c r="P136" s="12" t="str">
        <f>HYPERLINK("http://slimages.macys.com/is/image/MCY/2153418 ")</f>
      </c>
    </row>
    <row r="137" spans="1:16" ht="24.75">
      <c r="A137" s="9" t="s">
        <v>503</v>
      </c>
      <c r="B137" s="3" t="s">
        <v>504</v>
      </c>
      <c r="C137" s="5" t="n">
        <v>1.0</v>
      </c>
      <c r="D137" s="6" t="n">
        <v>13.5</v>
      </c>
      <c r="E137" s="6" t="n">
        <v>13.5</v>
      </c>
      <c r="F137" s="10" t="n">
        <v>39.99</v>
      </c>
      <c r="G137" s="6" t="n">
        <v>39.99</v>
      </c>
      <c r="H137" s="5" t="s">
        <v>505</v>
      </c>
      <c r="I137" s="3" t="s">
        <v>49</v>
      </c>
      <c r="J137" s="11" t="s">
        <v>76</v>
      </c>
      <c r="K137" s="17" t="n">
        <v>4.1850000000000005</v>
      </c>
      <c r="L137" s="17" t="n">
        <v>4.1850000000000005</v>
      </c>
      <c r="M137" s="3" t="s">
        <v>20</v>
      </c>
      <c r="N137" s="3" t="s">
        <v>229</v>
      </c>
      <c r="O137" s="3" t="s">
        <v>287</v>
      </c>
      <c r="P137" s="12" t="str">
        <f>HYPERLINK("http://slimages.macys.com/is/image/MCY/2118172 ")</f>
      </c>
    </row>
    <row r="138" spans="1:16" ht="24.75">
      <c r="A138" s="9" t="s">
        <v>506</v>
      </c>
      <c r="B138" s="3" t="s">
        <v>507</v>
      </c>
      <c r="C138" s="5" t="n">
        <v>1.0</v>
      </c>
      <c r="D138" s="6" t="n">
        <v>13.5</v>
      </c>
      <c r="E138" s="6" t="n">
        <v>13.5</v>
      </c>
      <c r="F138" s="10" t="n">
        <v>34.5</v>
      </c>
      <c r="G138" s="6" t="n">
        <v>34.5</v>
      </c>
      <c r="H138" s="5" t="s">
        <v>508</v>
      </c>
      <c r="I138" s="3" t="s">
        <v>1196</v>
      </c>
      <c r="J138" s="11" t="s">
        <v>45</v>
      </c>
      <c r="K138" s="17" t="n">
        <v>4.1850000000000005</v>
      </c>
      <c r="L138" s="17" t="n">
        <v>4.1850000000000005</v>
      </c>
      <c r="M138" s="3" t="s">
        <v>20</v>
      </c>
      <c r="N138" s="3" t="s">
        <v>283</v>
      </c>
      <c r="O138" s="3" t="s">
        <v>264</v>
      </c>
      <c r="P138" s="12" t="str">
        <f>HYPERLINK("http://slimages.macys.com/is/image/MCY/2301570 ")</f>
      </c>
    </row>
    <row r="139" spans="1:16" ht="24.75">
      <c r="A139" s="9" t="s">
        <v>509</v>
      </c>
      <c r="B139" s="3" t="s">
        <v>510</v>
      </c>
      <c r="C139" s="5" t="n">
        <v>1.0</v>
      </c>
      <c r="D139" s="6" t="n">
        <v>13.5</v>
      </c>
      <c r="E139" s="6" t="n">
        <v>13.5</v>
      </c>
      <c r="F139" s="10" t="n">
        <v>34.5</v>
      </c>
      <c r="G139" s="6" t="n">
        <v>34.5</v>
      </c>
      <c r="H139" s="5" t="s">
        <v>511</v>
      </c>
      <c r="I139" s="3" t="s">
        <v>171</v>
      </c>
      <c r="J139" s="11" t="s">
        <v>81</v>
      </c>
      <c r="K139" s="17" t="n">
        <v>4.1850000000000005</v>
      </c>
      <c r="L139" s="17" t="n">
        <v>4.1850000000000005</v>
      </c>
      <c r="M139" s="3" t="s">
        <v>20</v>
      </c>
      <c r="N139" s="3" t="s">
        <v>283</v>
      </c>
      <c r="O139" s="3" t="s">
        <v>264</v>
      </c>
      <c r="P139" s="12" t="str">
        <f>HYPERLINK("http://slimages.macys.com/is/image/MCY/2280228 ")</f>
      </c>
    </row>
    <row r="140" spans="1:16" ht="24.75">
      <c r="A140" s="9" t="s">
        <v>512</v>
      </c>
      <c r="B140" s="3" t="s">
        <v>513</v>
      </c>
      <c r="C140" s="5" t="n">
        <v>1.0</v>
      </c>
      <c r="D140" s="6" t="n">
        <v>13.5</v>
      </c>
      <c r="E140" s="6" t="n">
        <v>13.5</v>
      </c>
      <c r="F140" s="10" t="n">
        <v>34.5</v>
      </c>
      <c r="G140" s="6" t="n">
        <v>34.5</v>
      </c>
      <c r="H140" s="5" t="s">
        <v>511</v>
      </c>
      <c r="I140" s="3" t="s">
        <v>171</v>
      </c>
      <c r="J140" s="11" t="s">
        <v>76</v>
      </c>
      <c r="K140" s="17" t="n">
        <v>4.1850000000000005</v>
      </c>
      <c r="L140" s="17" t="n">
        <v>4.1850000000000005</v>
      </c>
      <c r="M140" s="3" t="s">
        <v>20</v>
      </c>
      <c r="N140" s="3" t="s">
        <v>283</v>
      </c>
      <c r="O140" s="3" t="s">
        <v>264</v>
      </c>
      <c r="P140" s="12" t="str">
        <f>HYPERLINK("http://slimages.macys.com/is/image/MCY/2280228 ")</f>
      </c>
    </row>
    <row r="141" spans="1:16" ht="24.75">
      <c r="A141" s="9" t="s">
        <v>514</v>
      </c>
      <c r="B141" s="3" t="s">
        <v>515</v>
      </c>
      <c r="C141" s="5" t="n">
        <v>1.0</v>
      </c>
      <c r="D141" s="6" t="n">
        <v>13.5</v>
      </c>
      <c r="E141" s="6" t="n">
        <v>13.5</v>
      </c>
      <c r="F141" s="10" t="n">
        <v>29.99</v>
      </c>
      <c r="G141" s="6" t="n">
        <v>29.99</v>
      </c>
      <c r="H141" s="5" t="s">
        <v>516</v>
      </c>
      <c r="I141" s="3" t="s">
        <v>44</v>
      </c>
      <c r="J141" s="11" t="s">
        <v>517</v>
      </c>
      <c r="K141" s="17" t="n">
        <v>4.1850000000000005</v>
      </c>
      <c r="L141" s="17" t="n">
        <v>4.1850000000000005</v>
      </c>
      <c r="M141" s="3" t="s">
        <v>20</v>
      </c>
      <c r="N141" s="3" t="s">
        <v>290</v>
      </c>
      <c r="O141" s="3" t="s">
        <v>518</v>
      </c>
      <c r="P141" s="12" t="str">
        <f>HYPERLINK("http://slimages.macys.com/is/image/MCY/2278390 ")</f>
      </c>
    </row>
    <row r="142" spans="1:16">
      <c r="A142" s="9" t="s">
        <v>519</v>
      </c>
      <c r="B142" s="3" t="s">
        <v>520</v>
      </c>
      <c r="C142" s="5" t="n">
        <v>1.0</v>
      </c>
      <c r="D142" s="6" t="n">
        <v>13.5</v>
      </c>
      <c r="E142" s="6" t="n">
        <v>13.5</v>
      </c>
      <c r="F142" s="10" t="n">
        <v>33.0</v>
      </c>
      <c r="G142" s="6" t="n">
        <v>33.0</v>
      </c>
      <c r="H142" s="5" t="s">
        <v>521</v>
      </c>
      <c r="I142" s="3" t="s">
        <v>49</v>
      </c>
      <c r="J142" s="11" t="s">
        <v>45</v>
      </c>
      <c r="K142" s="17" t="n">
        <v>4.1850000000000005</v>
      </c>
      <c r="L142" s="17" t="n">
        <v>4.1850000000000005</v>
      </c>
      <c r="M142" s="3" t="s">
        <v>20</v>
      </c>
      <c r="N142" s="3" t="s">
        <v>290</v>
      </c>
      <c r="O142" s="3" t="s">
        <v>287</v>
      </c>
      <c r="P142" s="12" t="str">
        <f>HYPERLINK("http://slimages.macys.com/is/image/MCY/1893256 ")</f>
      </c>
    </row>
    <row r="143" spans="1:16">
      <c r="A143" s="9" t="s">
        <v>522</v>
      </c>
      <c r="B143" s="3" t="s">
        <v>523</v>
      </c>
      <c r="C143" s="5" t="n">
        <v>1.0</v>
      </c>
      <c r="D143" s="6" t="n">
        <v>13.5</v>
      </c>
      <c r="E143" s="6" t="n">
        <v>13.5</v>
      </c>
      <c r="F143" s="10" t="n">
        <v>43.5</v>
      </c>
      <c r="G143" s="6" t="n">
        <v>43.5</v>
      </c>
      <c r="H143" s="5" t="s">
        <v>524</v>
      </c>
      <c r="I143" s="3" t="s">
        <v>71</v>
      </c>
      <c r="J143" s="11" t="s">
        <v>525</v>
      </c>
      <c r="K143" s="17" t="n">
        <v>4.1850000000000005</v>
      </c>
      <c r="L143" s="17" t="n">
        <v>4.1850000000000005</v>
      </c>
      <c r="M143" s="3" t="s">
        <v>20</v>
      </c>
      <c r="N143" s="3" t="s">
        <v>436</v>
      </c>
      <c r="O143" s="3" t="s">
        <v>287</v>
      </c>
      <c r="P143" s="12" t="str">
        <f>HYPERLINK("http://slimages.macys.com/is/image/MCY/1694888 ")</f>
      </c>
    </row>
    <row r="144" spans="1:16" ht="24.75">
      <c r="A144" s="9" t="s">
        <v>526</v>
      </c>
      <c r="B144" s="3" t="s">
        <v>527</v>
      </c>
      <c r="C144" s="5" t="n">
        <v>1.0</v>
      </c>
      <c r="D144" s="6" t="n">
        <v>13.5</v>
      </c>
      <c r="E144" s="6" t="n">
        <v>13.5</v>
      </c>
      <c r="F144" s="10" t="n">
        <v>34.5</v>
      </c>
      <c r="G144" s="6" t="n">
        <v>34.5</v>
      </c>
      <c r="H144" s="5" t="s">
        <v>528</v>
      </c>
      <c r="I144" s="3" t="s">
        <v>341</v>
      </c>
      <c r="J144" s="11" t="s">
        <v>529</v>
      </c>
      <c r="K144" s="17" t="n">
        <v>4.1850000000000005</v>
      </c>
      <c r="L144" s="17" t="n">
        <v>4.1850000000000005</v>
      </c>
      <c r="M144" s="3" t="s">
        <v>20</v>
      </c>
      <c r="N144" s="3" t="s">
        <v>460</v>
      </c>
      <c r="O144" s="3" t="s">
        <v>264</v>
      </c>
      <c r="P144" s="12" t="str">
        <f>HYPERLINK("http://slimages.macys.com/is/image/MCY/1936624 ")</f>
      </c>
    </row>
    <row r="145" spans="1:16" ht="24.75">
      <c r="A145" s="9" t="s">
        <v>530</v>
      </c>
      <c r="B145" s="3" t="s">
        <v>531</v>
      </c>
      <c r="C145" s="5" t="n">
        <v>1.0</v>
      </c>
      <c r="D145" s="6" t="n">
        <v>13.5</v>
      </c>
      <c r="E145" s="6" t="n">
        <v>13.5</v>
      </c>
      <c r="F145" s="10" t="n">
        <v>33.75</v>
      </c>
      <c r="G145" s="6" t="n">
        <v>33.75</v>
      </c>
      <c r="H145" s="5" t="s">
        <v>532</v>
      </c>
      <c r="I145" s="3" t="s">
        <v>341</v>
      </c>
      <c r="J145" s="11" t="s">
        <v>172</v>
      </c>
      <c r="K145" s="17" t="n">
        <v>4.1850000000000005</v>
      </c>
      <c r="L145" s="17" t="n">
        <v>4.1850000000000005</v>
      </c>
      <c r="M145" s="3" t="s">
        <v>20</v>
      </c>
      <c r="N145" s="3" t="s">
        <v>193</v>
      </c>
      <c r="O145" s="3" t="s">
        <v>287</v>
      </c>
      <c r="P145" s="12" t="str">
        <f>HYPERLINK("http://slimages.macys.com/is/image/MCY/2099225 ")</f>
      </c>
    </row>
    <row r="146" spans="1:16" ht="24.75">
      <c r="A146" s="9" t="s">
        <v>533</v>
      </c>
      <c r="B146" s="3" t="s">
        <v>534</v>
      </c>
      <c r="C146" s="5" t="n">
        <v>1.0</v>
      </c>
      <c r="D146" s="6" t="n">
        <v>13.5</v>
      </c>
      <c r="E146" s="6" t="n">
        <v>13.5</v>
      </c>
      <c r="F146" s="10" t="n">
        <v>33.75</v>
      </c>
      <c r="G146" s="6" t="n">
        <v>33.75</v>
      </c>
      <c r="H146" s="5" t="s">
        <v>532</v>
      </c>
      <c r="I146" s="3" t="s">
        <v>341</v>
      </c>
      <c r="J146" s="11" t="s">
        <v>328</v>
      </c>
      <c r="K146" s="17" t="n">
        <v>4.1850000000000005</v>
      </c>
      <c r="L146" s="17" t="n">
        <v>4.1850000000000005</v>
      </c>
      <c r="M146" s="3" t="s">
        <v>20</v>
      </c>
      <c r="N146" s="3" t="s">
        <v>193</v>
      </c>
      <c r="O146" s="3" t="s">
        <v>287</v>
      </c>
      <c r="P146" s="12" t="str">
        <f>HYPERLINK("http://slimages.macys.com/is/image/MCY/2099225 ")</f>
      </c>
    </row>
    <row r="147" spans="1:16" ht="24.75">
      <c r="A147" s="9" t="s">
        <v>535</v>
      </c>
      <c r="B147" s="3" t="s">
        <v>536</v>
      </c>
      <c r="C147" s="5" t="n">
        <v>1.0</v>
      </c>
      <c r="D147" s="6" t="n">
        <v>13.3</v>
      </c>
      <c r="E147" s="6" t="n">
        <v>13.3</v>
      </c>
      <c r="F147" s="10" t="n">
        <v>39.0</v>
      </c>
      <c r="G147" s="6" t="n">
        <v>39.0</v>
      </c>
      <c r="H147" s="5" t="s">
        <v>537</v>
      </c>
      <c r="I147" s="3" t="s">
        <v>34</v>
      </c>
      <c r="J147" s="11" t="s">
        <v>72</v>
      </c>
      <c r="K147" s="17" t="n">
        <v>4.123</v>
      </c>
      <c r="L147" s="17" t="n">
        <v>4.123</v>
      </c>
      <c r="M147" s="3" t="s">
        <v>20</v>
      </c>
      <c r="N147" s="3" t="s">
        <v>95</v>
      </c>
      <c r="O147" s="3" t="s">
        <v>96</v>
      </c>
      <c r="P147" s="12" t="str">
        <f>HYPERLINK("http://slimages.macys.com/is/image/MCY/1579266 ")</f>
      </c>
    </row>
    <row r="148" spans="1:16" ht="24.75">
      <c r="A148" s="9" t="s">
        <v>538</v>
      </c>
      <c r="B148" s="3" t="s">
        <v>539</v>
      </c>
      <c r="C148" s="5" t="n">
        <v>1.0</v>
      </c>
      <c r="D148" s="6" t="n">
        <v>13.3</v>
      </c>
      <c r="E148" s="6" t="n">
        <v>13.3</v>
      </c>
      <c r="F148" s="10" t="n">
        <v>39.0</v>
      </c>
      <c r="G148" s="6" t="n">
        <v>39.0</v>
      </c>
      <c r="H148" s="5" t="s">
        <v>537</v>
      </c>
      <c r="I148" s="3" t="s">
        <v>34</v>
      </c>
      <c r="J148" s="11" t="s">
        <v>45</v>
      </c>
      <c r="K148" s="17" t="n">
        <v>4.123</v>
      </c>
      <c r="L148" s="17" t="n">
        <v>4.123</v>
      </c>
      <c r="M148" s="3" t="s">
        <v>20</v>
      </c>
      <c r="N148" s="3" t="s">
        <v>95</v>
      </c>
      <c r="O148" s="3" t="s">
        <v>96</v>
      </c>
      <c r="P148" s="12" t="str">
        <f>HYPERLINK("http://slimages.macys.com/is/image/MCY/1579266 ")</f>
      </c>
    </row>
    <row r="149" spans="1:16" ht="24.75">
      <c r="A149" s="9" t="s">
        <v>540</v>
      </c>
      <c r="B149" s="3" t="s">
        <v>541</v>
      </c>
      <c r="C149" s="5" t="n">
        <v>1.0</v>
      </c>
      <c r="D149" s="6" t="n">
        <v>13.25</v>
      </c>
      <c r="E149" s="6" t="n">
        <v>13.25</v>
      </c>
      <c r="F149" s="10" t="n">
        <v>33.0</v>
      </c>
      <c r="G149" s="6" t="n">
        <v>33.0</v>
      </c>
      <c r="H149" s="5" t="s">
        <v>542</v>
      </c>
      <c r="I149" s="3" t="s">
        <v>242</v>
      </c>
      <c r="J149" s="11" t="s">
        <v>35</v>
      </c>
      <c r="K149" s="17" t="n">
        <v>4.1075</v>
      </c>
      <c r="L149" s="17" t="n">
        <v>4.1075</v>
      </c>
      <c r="M149" s="3" t="s">
        <v>20</v>
      </c>
      <c r="N149" s="3" t="s">
        <v>491</v>
      </c>
      <c r="O149" s="3" t="s">
        <v>492</v>
      </c>
      <c r="P149" s="12" t="str">
        <f>HYPERLINK("http://slimages.macys.com/is/image/MCY/2186987 ")</f>
      </c>
    </row>
    <row r="150" spans="1:16" ht="24.75">
      <c r="A150" s="9" t="s">
        <v>543</v>
      </c>
      <c r="B150" s="3" t="s">
        <v>544</v>
      </c>
      <c r="C150" s="5" t="n">
        <v>1.0</v>
      </c>
      <c r="D150" s="6" t="n">
        <v>13.2</v>
      </c>
      <c r="E150" s="6" t="n">
        <v>13.2</v>
      </c>
      <c r="F150" s="10" t="n">
        <v>27.99</v>
      </c>
      <c r="G150" s="6" t="n">
        <v>27.99</v>
      </c>
      <c r="H150" s="5" t="s">
        <v>545</v>
      </c>
      <c r="I150" s="3" t="s">
        <v>136</v>
      </c>
      <c r="J150" s="11" t="s">
        <v>35</v>
      </c>
      <c r="K150" s="17" t="n">
        <v>4.0920000000000005</v>
      </c>
      <c r="L150" s="17" t="n">
        <v>4.0920000000000005</v>
      </c>
      <c r="M150" s="3" t="s">
        <v>20</v>
      </c>
      <c r="N150" s="3" t="s">
        <v>546</v>
      </c>
      <c r="O150" s="3" t="s">
        <v>547</v>
      </c>
      <c r="P150" s="12" t="str">
        <f>HYPERLINK("http://slimages.macys.com/is/image/MCY/1867384 ")</f>
      </c>
    </row>
    <row r="151" spans="1:16" ht="24.75">
      <c r="A151" s="9" t="s">
        <v>548</v>
      </c>
      <c r="B151" s="3" t="s">
        <v>549</v>
      </c>
      <c r="C151" s="5" t="n">
        <v>1.0</v>
      </c>
      <c r="D151" s="6" t="n">
        <v>13.0</v>
      </c>
      <c r="E151" s="6" t="n">
        <v>13.0</v>
      </c>
      <c r="F151" s="10" t="n">
        <v>33.0</v>
      </c>
      <c r="G151" s="6" t="n">
        <v>33.0</v>
      </c>
      <c r="H151" s="5" t="s">
        <v>550</v>
      </c>
      <c r="I151" s="3" t="s">
        <v>171</v>
      </c>
      <c r="J151" s="11" t="s">
        <v>76</v>
      </c>
      <c r="K151" s="17" t="n">
        <v>4.03</v>
      </c>
      <c r="L151" s="17" t="n">
        <v>4.03</v>
      </c>
      <c r="M151" s="3" t="s">
        <v>20</v>
      </c>
      <c r="N151" s="3" t="s">
        <v>491</v>
      </c>
      <c r="O151" s="3" t="s">
        <v>492</v>
      </c>
      <c r="P151" s="12" t="str">
        <f>HYPERLINK("http://slimages.macys.com/is/image/MCY/2315067 ")</f>
      </c>
    </row>
    <row r="152" spans="1:16" ht="24.75">
      <c r="A152" s="9" t="s">
        <v>551</v>
      </c>
      <c r="B152" s="3" t="s">
        <v>552</v>
      </c>
      <c r="C152" s="5" t="n">
        <v>1.0</v>
      </c>
      <c r="D152" s="6" t="n">
        <v>13.0</v>
      </c>
      <c r="E152" s="6" t="n">
        <v>13.0</v>
      </c>
      <c r="F152" s="10" t="n">
        <v>33.0</v>
      </c>
      <c r="G152" s="6" t="n">
        <v>33.0</v>
      </c>
      <c r="H152" s="5" t="s">
        <v>553</v>
      </c>
      <c r="I152" s="3" t="s">
        <v>56</v>
      </c>
      <c r="J152" s="11" t="s">
        <v>35</v>
      </c>
      <c r="K152" s="17" t="n">
        <v>4.03</v>
      </c>
      <c r="L152" s="17" t="n">
        <v>4.03</v>
      </c>
      <c r="M152" s="3" t="s">
        <v>20</v>
      </c>
      <c r="N152" s="3" t="s">
        <v>290</v>
      </c>
      <c r="O152" s="3" t="s">
        <v>287</v>
      </c>
      <c r="P152" s="12" t="str">
        <f>HYPERLINK("http://slimages.macys.com/is/image/MCY/2052081 ")</f>
      </c>
    </row>
    <row r="153" spans="1:16" ht="24.75">
      <c r="A153" s="9" t="s">
        <v>554</v>
      </c>
      <c r="B153" s="3" t="s">
        <v>555</v>
      </c>
      <c r="C153" s="5" t="n">
        <v>1.0</v>
      </c>
      <c r="D153" s="6" t="n">
        <v>12.75</v>
      </c>
      <c r="E153" s="6" t="n">
        <v>12.75</v>
      </c>
      <c r="F153" s="10" t="n">
        <v>33.0</v>
      </c>
      <c r="G153" s="6" t="n">
        <v>33.0</v>
      </c>
      <c r="H153" s="5" t="s">
        <v>556</v>
      </c>
      <c r="I153" s="3" t="s">
        <v>71</v>
      </c>
      <c r="J153" s="11" t="s">
        <v>81</v>
      </c>
      <c r="K153" s="17" t="n">
        <v>3.9524999999999997</v>
      </c>
      <c r="L153" s="17" t="n">
        <v>3.9524999999999997</v>
      </c>
      <c r="M153" s="3" t="s">
        <v>20</v>
      </c>
      <c r="N153" s="3" t="s">
        <v>290</v>
      </c>
      <c r="O153" s="3" t="s">
        <v>287</v>
      </c>
      <c r="P153" s="12" t="str">
        <f>HYPERLINK("http://slimages.macys.com/is/image/MCY/1970342 ")</f>
      </c>
    </row>
    <row r="154" spans="1:16" ht="24.75">
      <c r="A154" s="9" t="s">
        <v>557</v>
      </c>
      <c r="B154" s="3" t="s">
        <v>558</v>
      </c>
      <c r="C154" s="5" t="n">
        <v>1.0</v>
      </c>
      <c r="D154" s="6" t="n">
        <v>12.5</v>
      </c>
      <c r="E154" s="6" t="n">
        <v>12.5</v>
      </c>
      <c r="F154" s="10" t="n">
        <v>28.0</v>
      </c>
      <c r="G154" s="6" t="n">
        <v>28.0</v>
      </c>
      <c r="H154" s="5" t="s">
        <v>559</v>
      </c>
      <c r="I154" s="3" t="s">
        <v>560</v>
      </c>
      <c r="J154" s="11" t="s">
        <v>1196</v>
      </c>
      <c r="K154" s="17" t="n">
        <v>3.875</v>
      </c>
      <c r="L154" s="17" t="n">
        <v>3.875</v>
      </c>
      <c r="M154" s="3" t="s">
        <v>20</v>
      </c>
      <c r="N154" s="3" t="s">
        <v>436</v>
      </c>
      <c r="O154" s="3" t="s">
        <v>287</v>
      </c>
      <c r="P154" s="12" t="str">
        <f>HYPERLINK("http://slimages.macys.com/is/image/MCY/2176929 ")</f>
      </c>
    </row>
    <row r="155" spans="1:16" ht="24.75">
      <c r="A155" s="9" t="s">
        <v>561</v>
      </c>
      <c r="B155" s="3" t="s">
        <v>562</v>
      </c>
      <c r="C155" s="5" t="n">
        <v>1.0</v>
      </c>
      <c r="D155" s="6" t="n">
        <v>12.5</v>
      </c>
      <c r="E155" s="6" t="n">
        <v>12.5</v>
      </c>
      <c r="F155" s="10" t="n">
        <v>36.75</v>
      </c>
      <c r="G155" s="6" t="n">
        <v>36.75</v>
      </c>
      <c r="H155" s="5" t="s">
        <v>563</v>
      </c>
      <c r="I155" s="3" t="s">
        <v>44</v>
      </c>
      <c r="J155" s="11" t="s">
        <v>81</v>
      </c>
      <c r="K155" s="17" t="n">
        <v>3.875</v>
      </c>
      <c r="L155" s="17" t="n">
        <v>3.875</v>
      </c>
      <c r="M155" s="3" t="s">
        <v>20</v>
      </c>
      <c r="N155" s="3" t="s">
        <v>229</v>
      </c>
      <c r="O155" s="3" t="s">
        <v>287</v>
      </c>
      <c r="P155" s="12" t="str">
        <f>HYPERLINK("http://slimages.macys.com/is/image/MCY/2019695 ")</f>
      </c>
    </row>
    <row r="156" spans="1:16" ht="24.75">
      <c r="A156" s="9" t="s">
        <v>564</v>
      </c>
      <c r="B156" s="3" t="s">
        <v>565</v>
      </c>
      <c r="C156" s="5" t="n">
        <v>1.0</v>
      </c>
      <c r="D156" s="6" t="n">
        <v>12.5</v>
      </c>
      <c r="E156" s="6" t="n">
        <v>12.5</v>
      </c>
      <c r="F156" s="10" t="n">
        <v>45.0</v>
      </c>
      <c r="G156" s="6" t="n">
        <v>45.0</v>
      </c>
      <c r="H156" s="5" t="s">
        <v>566</v>
      </c>
      <c r="I156" s="3" t="s">
        <v>105</v>
      </c>
      <c r="J156" s="11" t="s">
        <v>76</v>
      </c>
      <c r="K156" s="17" t="n">
        <v>3.875</v>
      </c>
      <c r="L156" s="17" t="n">
        <v>3.875</v>
      </c>
      <c r="M156" s="3" t="s">
        <v>20</v>
      </c>
      <c r="N156" s="3" t="s">
        <v>229</v>
      </c>
      <c r="O156" s="3" t="s">
        <v>287</v>
      </c>
      <c r="P156" s="12" t="str">
        <f>HYPERLINK("http://slimages.macys.com/is/image/MCY/2304173 ")</f>
      </c>
    </row>
    <row r="157" spans="1:16" ht="24.75">
      <c r="A157" s="9" t="s">
        <v>567</v>
      </c>
      <c r="B157" s="3" t="s">
        <v>568</v>
      </c>
      <c r="C157" s="5" t="n">
        <v>1.0</v>
      </c>
      <c r="D157" s="6" t="n">
        <v>12.5</v>
      </c>
      <c r="E157" s="6" t="n">
        <v>12.5</v>
      </c>
      <c r="F157" s="10" t="n">
        <v>36.75</v>
      </c>
      <c r="G157" s="6" t="n">
        <v>36.75</v>
      </c>
      <c r="H157" s="5" t="s">
        <v>569</v>
      </c>
      <c r="I157" s="3" t="s">
        <v>141</v>
      </c>
      <c r="J157" s="11" t="s">
        <v>35</v>
      </c>
      <c r="K157" s="17" t="n">
        <v>3.875</v>
      </c>
      <c r="L157" s="17" t="n">
        <v>3.875</v>
      </c>
      <c r="M157" s="3" t="s">
        <v>20</v>
      </c>
      <c r="N157" s="3" t="s">
        <v>229</v>
      </c>
      <c r="O157" s="3" t="s">
        <v>287</v>
      </c>
      <c r="P157" s="12" t="str">
        <f>HYPERLINK("http://slimages.macys.com/is/image/MCY/1997407 ")</f>
      </c>
    </row>
    <row r="158" spans="1:16" ht="24.75">
      <c r="A158" s="9" t="s">
        <v>570</v>
      </c>
      <c r="B158" s="3" t="s">
        <v>571</v>
      </c>
      <c r="C158" s="5" t="n">
        <v>1.0</v>
      </c>
      <c r="D158" s="6" t="n">
        <v>12.5</v>
      </c>
      <c r="E158" s="6" t="n">
        <v>12.5</v>
      </c>
      <c r="F158" s="10" t="n">
        <v>37.5</v>
      </c>
      <c r="G158" s="6" t="n">
        <v>37.5</v>
      </c>
      <c r="H158" s="5" t="s">
        <v>572</v>
      </c>
      <c r="I158" s="3" t="s">
        <v>141</v>
      </c>
      <c r="J158" s="11" t="s">
        <v>45</v>
      </c>
      <c r="K158" s="17" t="n">
        <v>3.875</v>
      </c>
      <c r="L158" s="17" t="n">
        <v>3.875</v>
      </c>
      <c r="M158" s="3" t="s">
        <v>20</v>
      </c>
      <c r="N158" s="3" t="s">
        <v>229</v>
      </c>
      <c r="O158" s="3" t="s">
        <v>287</v>
      </c>
      <c r="P158" s="12" t="str">
        <f>HYPERLINK("http://slimages.macys.com/is/image/MCY/2097485 ")</f>
      </c>
    </row>
    <row r="159" spans="1:16" ht="24.75">
      <c r="A159" s="9" t="s">
        <v>573</v>
      </c>
      <c r="B159" s="3" t="s">
        <v>574</v>
      </c>
      <c r="C159" s="5" t="n">
        <v>1.0</v>
      </c>
      <c r="D159" s="6" t="n">
        <v>12.3</v>
      </c>
      <c r="E159" s="6" t="n">
        <v>12.3</v>
      </c>
      <c r="F159" s="10" t="n">
        <v>27.98</v>
      </c>
      <c r="G159" s="6" t="n">
        <v>27.98</v>
      </c>
      <c r="H159" s="5" t="s">
        <v>575</v>
      </c>
      <c r="I159" s="3" t="s">
        <v>71</v>
      </c>
      <c r="J159" s="11" t="s">
        <v>576</v>
      </c>
      <c r="K159" s="17" t="n">
        <v>3.813</v>
      </c>
      <c r="L159" s="17" t="n">
        <v>3.813</v>
      </c>
      <c r="M159" s="3" t="s">
        <v>20</v>
      </c>
      <c r="N159" s="3" t="s">
        <v>243</v>
      </c>
      <c r="O159" s="3" t="s">
        <v>577</v>
      </c>
      <c r="P159" s="12" t="str">
        <f>HYPERLINK("http://slimages.macys.com/is/image/MCY/1414379 ")</f>
      </c>
    </row>
    <row r="160" spans="1:16" ht="24.75">
      <c r="A160" s="9" t="s">
        <v>578</v>
      </c>
      <c r="B160" s="3" t="s">
        <v>579</v>
      </c>
      <c r="C160" s="5" t="n">
        <v>1.0</v>
      </c>
      <c r="D160" s="6" t="n">
        <v>12.3</v>
      </c>
      <c r="E160" s="6" t="n">
        <v>12.3</v>
      </c>
      <c r="F160" s="10" t="n">
        <v>27.98</v>
      </c>
      <c r="G160" s="6" t="n">
        <v>27.98</v>
      </c>
      <c r="H160" s="5" t="s">
        <v>580</v>
      </c>
      <c r="I160" s="3" t="s">
        <v>71</v>
      </c>
      <c r="J160" s="11" t="s">
        <v>57</v>
      </c>
      <c r="K160" s="17" t="n">
        <v>3.813</v>
      </c>
      <c r="L160" s="17" t="n">
        <v>3.813</v>
      </c>
      <c r="M160" s="3" t="s">
        <v>20</v>
      </c>
      <c r="N160" s="3" t="s">
        <v>243</v>
      </c>
      <c r="O160" s="3" t="s">
        <v>577</v>
      </c>
      <c r="P160" s="12" t="str">
        <f>HYPERLINK("http://slimages.macys.com/is/image/MCY/1414379 ")</f>
      </c>
    </row>
    <row r="161" spans="1:16" ht="24.75">
      <c r="A161" s="9" t="s">
        <v>581</v>
      </c>
      <c r="B161" s="3" t="s">
        <v>582</v>
      </c>
      <c r="C161" s="5" t="n">
        <v>1.0</v>
      </c>
      <c r="D161" s="6" t="n">
        <v>12.29</v>
      </c>
      <c r="E161" s="6" t="n">
        <v>12.29</v>
      </c>
      <c r="F161" s="10" t="n">
        <v>24.99</v>
      </c>
      <c r="G161" s="6" t="n">
        <v>24.99</v>
      </c>
      <c r="H161" s="5" t="s">
        <v>583</v>
      </c>
      <c r="I161" s="3" t="s">
        <v>71</v>
      </c>
      <c r="J161" s="11" t="s">
        <v>172</v>
      </c>
      <c r="K161" s="17" t="n">
        <v>3.8099000000000003</v>
      </c>
      <c r="L161" s="17" t="n">
        <v>3.8099000000000003</v>
      </c>
      <c r="M161" s="3" t="s">
        <v>20</v>
      </c>
      <c r="N161" s="3" t="s">
        <v>584</v>
      </c>
      <c r="O161" s="3" t="s">
        <v>585</v>
      </c>
      <c r="P161" s="12" t="str">
        <f>HYPERLINK("http://slimages.macys.com/is/image/MCY/1765292 ")</f>
      </c>
    </row>
    <row r="162" spans="1:16" ht="24.75">
      <c r="A162" s="9" t="s">
        <v>586</v>
      </c>
      <c r="B162" s="3" t="s">
        <v>587</v>
      </c>
      <c r="C162" s="5" t="n">
        <v>1.0</v>
      </c>
      <c r="D162" s="6" t="n">
        <v>12.25</v>
      </c>
      <c r="E162" s="6" t="n">
        <v>12.25</v>
      </c>
      <c r="F162" s="10" t="n">
        <v>39.5</v>
      </c>
      <c r="G162" s="6" t="n">
        <v>39.5</v>
      </c>
      <c r="H162" s="5" t="n">
        <v>2.20513975003E11</v>
      </c>
      <c r="I162" s="3" t="s">
        <v>49</v>
      </c>
      <c r="J162" s="11" t="s">
        <v>398</v>
      </c>
      <c r="K162" s="17" t="n">
        <v>3.7975000000000003</v>
      </c>
      <c r="L162" s="17" t="n">
        <v>3.7975000000000003</v>
      </c>
      <c r="M162" s="3" t="s">
        <v>20</v>
      </c>
      <c r="N162" s="3" t="s">
        <v>588</v>
      </c>
      <c r="O162" s="3" t="s">
        <v>589</v>
      </c>
      <c r="P162" s="12" t="str">
        <f>HYPERLINK("http://slimages.macys.com/is/image/MCY/2042653 ")</f>
      </c>
    </row>
    <row r="163" spans="1:16" ht="24.75">
      <c r="A163" s="9" t="s">
        <v>590</v>
      </c>
      <c r="B163" s="3" t="s">
        <v>591</v>
      </c>
      <c r="C163" s="5" t="n">
        <v>1.0</v>
      </c>
      <c r="D163" s="6" t="n">
        <v>12.25</v>
      </c>
      <c r="E163" s="6" t="n">
        <v>12.25</v>
      </c>
      <c r="F163" s="10" t="n">
        <v>39.5</v>
      </c>
      <c r="G163" s="6" t="n">
        <v>39.5</v>
      </c>
      <c r="H163" s="5" t="n">
        <v>2.20513975006E11</v>
      </c>
      <c r="I163" s="3" t="s">
        <v>66</v>
      </c>
      <c r="J163" s="11" t="s">
        <v>398</v>
      </c>
      <c r="K163" s="17" t="n">
        <v>3.7975000000000003</v>
      </c>
      <c r="L163" s="17" t="n">
        <v>3.7975000000000003</v>
      </c>
      <c r="M163" s="3" t="s">
        <v>20</v>
      </c>
      <c r="N163" s="3" t="s">
        <v>588</v>
      </c>
      <c r="O163" s="3" t="s">
        <v>589</v>
      </c>
      <c r="P163" s="12" t="str">
        <f>HYPERLINK("http://slimages.macys.com/is/image/MCY/2042653 ")</f>
      </c>
    </row>
    <row r="164" spans="1:16" ht="24.75">
      <c r="A164" s="9" t="s">
        <v>592</v>
      </c>
      <c r="B164" s="3" t="s">
        <v>593</v>
      </c>
      <c r="C164" s="5" t="n">
        <v>1.0</v>
      </c>
      <c r="D164" s="6" t="n">
        <v>12.25</v>
      </c>
      <c r="E164" s="6" t="n">
        <v>12.25</v>
      </c>
      <c r="F164" s="10" t="n">
        <v>39.5</v>
      </c>
      <c r="G164" s="6" t="n">
        <v>39.5</v>
      </c>
      <c r="H164" s="5" t="n">
        <v>2.20513976002E11</v>
      </c>
      <c r="I164" s="3" t="s">
        <v>594</v>
      </c>
      <c r="J164" s="11" t="s">
        <v>398</v>
      </c>
      <c r="K164" s="17" t="n">
        <v>3.7975000000000003</v>
      </c>
      <c r="L164" s="17" t="n">
        <v>3.7975000000000003</v>
      </c>
      <c r="M164" s="3" t="s">
        <v>20</v>
      </c>
      <c r="N164" s="3" t="s">
        <v>588</v>
      </c>
      <c r="O164" s="3" t="s">
        <v>589</v>
      </c>
      <c r="P164" s="12" t="str">
        <f>HYPERLINK("http://slimages.macys.com/is/image/MCY/2042657 ")</f>
      </c>
    </row>
    <row r="165" spans="1:16" ht="24.75">
      <c r="A165" s="9" t="s">
        <v>595</v>
      </c>
      <c r="B165" s="3" t="s">
        <v>596</v>
      </c>
      <c r="C165" s="5" t="n">
        <v>1.0</v>
      </c>
      <c r="D165" s="6" t="n">
        <v>12.07</v>
      </c>
      <c r="E165" s="6" t="n">
        <v>12.07</v>
      </c>
      <c r="F165" s="10" t="n">
        <v>39.5</v>
      </c>
      <c r="G165" s="6" t="n">
        <v>39.5</v>
      </c>
      <c r="H165" s="5" t="s">
        <v>597</v>
      </c>
      <c r="I165" s="3" t="s">
        <v>66</v>
      </c>
      <c r="J165" s="11" t="s">
        <v>81</v>
      </c>
      <c r="K165" s="17" t="n">
        <v>3.7417000000000002</v>
      </c>
      <c r="L165" s="17" t="n">
        <v>3.7417000000000002</v>
      </c>
      <c r="M165" s="3" t="s">
        <v>20</v>
      </c>
      <c r="N165" s="3" t="s">
        <v>152</v>
      </c>
      <c r="O165" s="3" t="s">
        <v>153</v>
      </c>
      <c r="P165" s="12" t="str">
        <f>HYPERLINK("http://slimages.macys.com/is/image/MCY/2201085 ")</f>
      </c>
    </row>
    <row r="166" spans="1:16" ht="24.75">
      <c r="A166" s="9" t="s">
        <v>598</v>
      </c>
      <c r="B166" s="3" t="s">
        <v>599</v>
      </c>
      <c r="C166" s="5" t="n">
        <v>1.0</v>
      </c>
      <c r="D166" s="6" t="n">
        <v>12.07</v>
      </c>
      <c r="E166" s="6" t="n">
        <v>12.07</v>
      </c>
      <c r="F166" s="10" t="n">
        <v>39.5</v>
      </c>
      <c r="G166" s="6" t="n">
        <v>39.5</v>
      </c>
      <c r="H166" s="5" t="s">
        <v>597</v>
      </c>
      <c r="I166" s="3" t="s">
        <v>66</v>
      </c>
      <c r="J166" s="11" t="s">
        <v>45</v>
      </c>
      <c r="K166" s="17" t="n">
        <v>3.7417000000000002</v>
      </c>
      <c r="L166" s="17" t="n">
        <v>3.7417000000000002</v>
      </c>
      <c r="M166" s="3" t="s">
        <v>20</v>
      </c>
      <c r="N166" s="3" t="s">
        <v>152</v>
      </c>
      <c r="O166" s="3" t="s">
        <v>153</v>
      </c>
      <c r="P166" s="12" t="str">
        <f>HYPERLINK("http://slimages.macys.com/is/image/MCY/2201085 ")</f>
      </c>
    </row>
    <row r="167" spans="1:16" ht="24.75">
      <c r="A167" s="9" t="s">
        <v>600</v>
      </c>
      <c r="B167" s="3" t="s">
        <v>601</v>
      </c>
      <c r="C167" s="5" t="n">
        <v>1.0</v>
      </c>
      <c r="D167" s="6" t="n">
        <v>12.0</v>
      </c>
      <c r="E167" s="6" t="n">
        <v>12.0</v>
      </c>
      <c r="F167" s="10" t="n">
        <v>27.0</v>
      </c>
      <c r="G167" s="6" t="n">
        <v>27.0</v>
      </c>
      <c r="H167" s="5" t="s">
        <v>602</v>
      </c>
      <c r="I167" s="3" t="s">
        <v>66</v>
      </c>
      <c r="J167" s="11" t="s">
        <v>81</v>
      </c>
      <c r="K167" s="17" t="n">
        <v>3.7199999999999998</v>
      </c>
      <c r="L167" s="17" t="n">
        <v>3.7199999999999998</v>
      </c>
      <c r="M167" s="3" t="s">
        <v>20</v>
      </c>
      <c r="N167" s="3" t="s">
        <v>229</v>
      </c>
      <c r="O167" s="3" t="s">
        <v>603</v>
      </c>
      <c r="P167" s="12" t="str">
        <f>HYPERLINK("http://slimages.macys.com/is/image/MCY/1587180 ")</f>
      </c>
    </row>
    <row r="168" spans="1:16" ht="24.75">
      <c r="A168" s="9" t="s">
        <v>604</v>
      </c>
      <c r="B168" s="3" t="s">
        <v>605</v>
      </c>
      <c r="C168" s="5" t="n">
        <v>1.0</v>
      </c>
      <c r="D168" s="6" t="n">
        <v>11.5</v>
      </c>
      <c r="E168" s="6" t="n">
        <v>11.5</v>
      </c>
      <c r="F168" s="10" t="n">
        <v>34.5</v>
      </c>
      <c r="G168" s="6" t="n">
        <v>34.5</v>
      </c>
      <c r="H168" s="5" t="s">
        <v>606</v>
      </c>
      <c r="I168" s="3" t="s">
        <v>607</v>
      </c>
      <c r="J168" s="11" t="s">
        <v>529</v>
      </c>
      <c r="K168" s="17" t="n">
        <v>3.565</v>
      </c>
      <c r="L168" s="17" t="n">
        <v>3.565</v>
      </c>
      <c r="M168" s="3" t="s">
        <v>20</v>
      </c>
      <c r="N168" s="3" t="s">
        <v>279</v>
      </c>
      <c r="O168" s="3" t="s">
        <v>244</v>
      </c>
      <c r="P168" s="12" t="str">
        <f>HYPERLINK("http://slimages.macys.com/is/image/MCY/2097059 ")</f>
      </c>
    </row>
    <row r="169" spans="1:16" ht="24.75">
      <c r="A169" s="9" t="s">
        <v>608</v>
      </c>
      <c r="B169" s="3" t="s">
        <v>609</v>
      </c>
      <c r="C169" s="5" t="n">
        <v>1.0</v>
      </c>
      <c r="D169" s="6" t="n">
        <v>11.5</v>
      </c>
      <c r="E169" s="6" t="n">
        <v>11.5</v>
      </c>
      <c r="F169" s="10" t="n">
        <v>34.5</v>
      </c>
      <c r="G169" s="6" t="n">
        <v>34.5</v>
      </c>
      <c r="H169" s="5" t="s">
        <v>610</v>
      </c>
      <c r="I169" s="3" t="s">
        <v>66</v>
      </c>
      <c r="J169" s="11" t="s">
        <v>278</v>
      </c>
      <c r="K169" s="17" t="n">
        <v>3.565</v>
      </c>
      <c r="L169" s="17" t="n">
        <v>3.565</v>
      </c>
      <c r="M169" s="3" t="s">
        <v>20</v>
      </c>
      <c r="N169" s="3" t="s">
        <v>279</v>
      </c>
      <c r="O169" s="3" t="s">
        <v>244</v>
      </c>
      <c r="P169" s="12" t="str">
        <f>HYPERLINK("http://slimages.macys.com/is/image/MCY/2097059 ")</f>
      </c>
    </row>
    <row r="170" spans="1:16" ht="24.75">
      <c r="A170" s="9" t="s">
        <v>611</v>
      </c>
      <c r="B170" s="3" t="s">
        <v>612</v>
      </c>
      <c r="C170" s="5" t="n">
        <v>1.0</v>
      </c>
      <c r="D170" s="6" t="n">
        <v>11.5</v>
      </c>
      <c r="E170" s="6" t="n">
        <v>11.5</v>
      </c>
      <c r="F170" s="10" t="n">
        <v>29.25</v>
      </c>
      <c r="G170" s="6" t="n">
        <v>29.25</v>
      </c>
      <c r="H170" s="5" t="s">
        <v>613</v>
      </c>
      <c r="I170" s="3" t="s">
        <v>1196</v>
      </c>
      <c r="J170" s="11" t="s">
        <v>1196</v>
      </c>
      <c r="K170" s="17" t="n">
        <v>3.565</v>
      </c>
      <c r="L170" s="17" t="n">
        <v>3.565</v>
      </c>
      <c r="M170" s="3" t="s">
        <v>20</v>
      </c>
      <c r="N170" s="3" t="s">
        <v>460</v>
      </c>
      <c r="O170" s="3" t="s">
        <v>264</v>
      </c>
      <c r="P170" s="12" t="str">
        <f>HYPERLINK("http://slimages.macys.com/is/image/MCY/2223110 ")</f>
      </c>
    </row>
    <row r="171" spans="1:16" ht="24.75">
      <c r="A171" s="9" t="s">
        <v>614</v>
      </c>
      <c r="B171" s="3" t="s">
        <v>615</v>
      </c>
      <c r="C171" s="5" t="n">
        <v>1.0</v>
      </c>
      <c r="D171" s="6" t="n">
        <v>11.5</v>
      </c>
      <c r="E171" s="6" t="n">
        <v>11.5</v>
      </c>
      <c r="F171" s="10" t="n">
        <v>29.25</v>
      </c>
      <c r="G171" s="6" t="n">
        <v>29.25</v>
      </c>
      <c r="H171" s="5" t="s">
        <v>616</v>
      </c>
      <c r="I171" s="3" t="s">
        <v>1196</v>
      </c>
      <c r="J171" s="11" t="s">
        <v>1196</v>
      </c>
      <c r="K171" s="17" t="n">
        <v>3.565</v>
      </c>
      <c r="L171" s="17" t="n">
        <v>3.565</v>
      </c>
      <c r="M171" s="3" t="s">
        <v>20</v>
      </c>
      <c r="N171" s="3" t="s">
        <v>460</v>
      </c>
      <c r="O171" s="3" t="s">
        <v>264</v>
      </c>
      <c r="P171" s="12" t="str">
        <f>HYPERLINK("http://slimages.macys.com/is/image/MCY/2223110 ")</f>
      </c>
    </row>
    <row r="172" spans="1:16" ht="24.75">
      <c r="A172" s="9" t="s">
        <v>617</v>
      </c>
      <c r="B172" s="3" t="s">
        <v>618</v>
      </c>
      <c r="C172" s="5" t="n">
        <v>1.0</v>
      </c>
      <c r="D172" s="6" t="n">
        <v>11.5</v>
      </c>
      <c r="E172" s="6" t="n">
        <v>11.5</v>
      </c>
      <c r="F172" s="10" t="n">
        <v>29.25</v>
      </c>
      <c r="G172" s="6" t="n">
        <v>29.25</v>
      </c>
      <c r="H172" s="5" t="s">
        <v>619</v>
      </c>
      <c r="I172" s="3" t="s">
        <v>34</v>
      </c>
      <c r="J172" s="11" t="s">
        <v>76</v>
      </c>
      <c r="K172" s="17" t="n">
        <v>3.565</v>
      </c>
      <c r="L172" s="17" t="n">
        <v>3.565</v>
      </c>
      <c r="M172" s="3" t="s">
        <v>20</v>
      </c>
      <c r="N172" s="3" t="s">
        <v>491</v>
      </c>
      <c r="O172" s="3" t="s">
        <v>492</v>
      </c>
      <c r="P172" s="12" t="str">
        <f>HYPERLINK("http://slimages.macys.com/is/image/MCY/2251761 ")</f>
      </c>
    </row>
    <row r="173" spans="1:16" ht="24.75">
      <c r="A173" s="9" t="s">
        <v>620</v>
      </c>
      <c r="B173" s="3" t="s">
        <v>621</v>
      </c>
      <c r="C173" s="5" t="n">
        <v>1.0</v>
      </c>
      <c r="D173" s="6" t="n">
        <v>11.5</v>
      </c>
      <c r="E173" s="6" t="n">
        <v>11.5</v>
      </c>
      <c r="F173" s="10" t="n">
        <v>29.25</v>
      </c>
      <c r="G173" s="6" t="n">
        <v>29.25</v>
      </c>
      <c r="H173" s="5" t="s">
        <v>622</v>
      </c>
      <c r="I173" s="3" t="s">
        <v>1196</v>
      </c>
      <c r="J173" s="11" t="s">
        <v>45</v>
      </c>
      <c r="K173" s="17" t="n">
        <v>3.565</v>
      </c>
      <c r="L173" s="17" t="n">
        <v>3.565</v>
      </c>
      <c r="M173" s="3" t="s">
        <v>20</v>
      </c>
      <c r="N173" s="3" t="s">
        <v>283</v>
      </c>
      <c r="O173" s="3" t="s">
        <v>264</v>
      </c>
      <c r="P173" s="12" t="str">
        <f>HYPERLINK("http://slimages.macys.com/is/image/MCY/2223109 ")</f>
      </c>
    </row>
    <row r="174" spans="1:16" ht="24.75">
      <c r="A174" s="9" t="s">
        <v>623</v>
      </c>
      <c r="B174" s="3" t="s">
        <v>624</v>
      </c>
      <c r="C174" s="5" t="n">
        <v>1.0</v>
      </c>
      <c r="D174" s="6" t="n">
        <v>11.5</v>
      </c>
      <c r="E174" s="6" t="n">
        <v>11.5</v>
      </c>
      <c r="F174" s="10" t="n">
        <v>24.98</v>
      </c>
      <c r="G174" s="6" t="n">
        <v>24.98</v>
      </c>
      <c r="H174" s="5" t="s">
        <v>625</v>
      </c>
      <c r="I174" s="3" t="s">
        <v>410</v>
      </c>
      <c r="J174" s="11" t="s">
        <v>35</v>
      </c>
      <c r="K174" s="17" t="n">
        <v>3.565</v>
      </c>
      <c r="L174" s="17" t="n">
        <v>3.565</v>
      </c>
      <c r="M174" s="3" t="s">
        <v>20</v>
      </c>
      <c r="N174" s="3" t="s">
        <v>283</v>
      </c>
      <c r="O174" s="3" t="s">
        <v>264</v>
      </c>
      <c r="P174" s="12" t="str">
        <f>HYPERLINK("http://slimages.macys.com/is/image/MCY/2251777 ")</f>
      </c>
    </row>
    <row r="175" spans="1:16" ht="24.75">
      <c r="A175" s="9" t="s">
        <v>626</v>
      </c>
      <c r="B175" s="3" t="s">
        <v>627</v>
      </c>
      <c r="C175" s="5" t="n">
        <v>3.0</v>
      </c>
      <c r="D175" s="6" t="n">
        <v>11.5</v>
      </c>
      <c r="E175" s="6" t="n">
        <v>34.5</v>
      </c>
      <c r="F175" s="10" t="n">
        <v>24.98</v>
      </c>
      <c r="G175" s="6" t="n">
        <v>74.94</v>
      </c>
      <c r="H175" s="5" t="s">
        <v>625</v>
      </c>
      <c r="I175" s="3" t="s">
        <v>410</v>
      </c>
      <c r="J175" s="11" t="s">
        <v>45</v>
      </c>
      <c r="K175" s="17" t="n">
        <v>3.565</v>
      </c>
      <c r="L175" s="17" t="n">
        <v>10.695</v>
      </c>
      <c r="M175" s="3" t="s">
        <v>20</v>
      </c>
      <c r="N175" s="3" t="s">
        <v>283</v>
      </c>
      <c r="O175" s="3" t="s">
        <v>264</v>
      </c>
      <c r="P175" s="12" t="str">
        <f>HYPERLINK("http://slimages.macys.com/is/image/MCY/2251777 ")</f>
      </c>
    </row>
    <row r="176" spans="1:16" ht="24.75">
      <c r="A176" s="9" t="s">
        <v>628</v>
      </c>
      <c r="B176" s="3" t="s">
        <v>629</v>
      </c>
      <c r="C176" s="5" t="n">
        <v>1.0</v>
      </c>
      <c r="D176" s="6" t="n">
        <v>11.5</v>
      </c>
      <c r="E176" s="6" t="n">
        <v>11.5</v>
      </c>
      <c r="F176" s="10" t="n">
        <v>29.25</v>
      </c>
      <c r="G176" s="6" t="n">
        <v>29.25</v>
      </c>
      <c r="H176" s="5" t="s">
        <v>630</v>
      </c>
      <c r="I176" s="3" t="s">
        <v>1196</v>
      </c>
      <c r="J176" s="11" t="s">
        <v>45</v>
      </c>
      <c r="K176" s="17" t="n">
        <v>3.565</v>
      </c>
      <c r="L176" s="17" t="n">
        <v>3.565</v>
      </c>
      <c r="M176" s="3" t="s">
        <v>20</v>
      </c>
      <c r="N176" s="3" t="s">
        <v>283</v>
      </c>
      <c r="O176" s="3" t="s">
        <v>264</v>
      </c>
      <c r="P176" s="12" t="str">
        <f>HYPERLINK("http://slimages.macys.com/is/image/MCY/2302985 ")</f>
      </c>
    </row>
    <row r="177" spans="1:16" ht="24.75">
      <c r="A177" s="9" t="s">
        <v>631</v>
      </c>
      <c r="B177" s="3" t="s">
        <v>632</v>
      </c>
      <c r="C177" s="5" t="n">
        <v>1.0</v>
      </c>
      <c r="D177" s="6" t="n">
        <v>11.5</v>
      </c>
      <c r="E177" s="6" t="n">
        <v>11.5</v>
      </c>
      <c r="F177" s="10" t="n">
        <v>24.98</v>
      </c>
      <c r="G177" s="6" t="n">
        <v>24.98</v>
      </c>
      <c r="H177" s="5" t="s">
        <v>633</v>
      </c>
      <c r="I177" s="3" t="s">
        <v>171</v>
      </c>
      <c r="J177" s="11" t="s">
        <v>45</v>
      </c>
      <c r="K177" s="17" t="n">
        <v>3.565</v>
      </c>
      <c r="L177" s="17" t="n">
        <v>3.565</v>
      </c>
      <c r="M177" s="3" t="s">
        <v>20</v>
      </c>
      <c r="N177" s="3" t="s">
        <v>283</v>
      </c>
      <c r="O177" s="3" t="s">
        <v>264</v>
      </c>
      <c r="P177" s="12" t="str">
        <f>HYPERLINK("http://slimages.macys.com/is/image/MCY/2251777 ")</f>
      </c>
    </row>
    <row r="178" spans="1:16" ht="24.75">
      <c r="A178" s="9" t="s">
        <v>634</v>
      </c>
      <c r="B178" s="3" t="s">
        <v>635</v>
      </c>
      <c r="C178" s="5" t="n">
        <v>1.0</v>
      </c>
      <c r="D178" s="6" t="n">
        <v>11.5</v>
      </c>
      <c r="E178" s="6" t="n">
        <v>11.5</v>
      </c>
      <c r="F178" s="10" t="n">
        <v>36.99</v>
      </c>
      <c r="G178" s="6" t="n">
        <v>36.99</v>
      </c>
      <c r="H178" s="5" t="s">
        <v>636</v>
      </c>
      <c r="I178" s="3" t="s">
        <v>49</v>
      </c>
      <c r="J178" s="11" t="s">
        <v>45</v>
      </c>
      <c r="K178" s="17" t="n">
        <v>3.565</v>
      </c>
      <c r="L178" s="17" t="n">
        <v>3.565</v>
      </c>
      <c r="M178" s="3" t="s">
        <v>20</v>
      </c>
      <c r="N178" s="3" t="s">
        <v>229</v>
      </c>
      <c r="O178" s="3" t="s">
        <v>287</v>
      </c>
      <c r="P178" s="12" t="str">
        <f>HYPERLINK("http://slimages.macys.com/is/image/MCY/2460895 ")</f>
      </c>
    </row>
    <row r="179" spans="1:16" ht="24.75">
      <c r="A179" s="9" t="s">
        <v>637</v>
      </c>
      <c r="B179" s="3" t="s">
        <v>638</v>
      </c>
      <c r="C179" s="5" t="n">
        <v>1.0</v>
      </c>
      <c r="D179" s="6" t="n">
        <v>11.4</v>
      </c>
      <c r="E179" s="6" t="n">
        <v>11.4</v>
      </c>
      <c r="F179" s="10" t="n">
        <v>27.99</v>
      </c>
      <c r="G179" s="6" t="n">
        <v>27.99</v>
      </c>
      <c r="H179" s="5" t="s">
        <v>639</v>
      </c>
      <c r="I179" s="3" t="s">
        <v>171</v>
      </c>
      <c r="J179" s="11" t="s">
        <v>35</v>
      </c>
      <c r="K179" s="17" t="n">
        <v>3.534</v>
      </c>
      <c r="L179" s="17" t="n">
        <v>3.534</v>
      </c>
      <c r="M179" s="3" t="s">
        <v>20</v>
      </c>
      <c r="N179" s="3" t="s">
        <v>546</v>
      </c>
      <c r="O179" s="3" t="s">
        <v>547</v>
      </c>
      <c r="P179" s="12" t="str">
        <f>HYPERLINK("http://slimages.macys.com/is/image/MCY/2341527 ")</f>
      </c>
    </row>
    <row r="180" spans="1:16" ht="24.75">
      <c r="A180" s="9" t="s">
        <v>640</v>
      </c>
      <c r="B180" s="3" t="s">
        <v>641</v>
      </c>
      <c r="C180" s="5" t="n">
        <v>1.0</v>
      </c>
      <c r="D180" s="6" t="n">
        <v>11.39</v>
      </c>
      <c r="E180" s="6" t="n">
        <v>11.39</v>
      </c>
      <c r="F180" s="10" t="n">
        <v>34.5</v>
      </c>
      <c r="G180" s="6" t="n">
        <v>34.5</v>
      </c>
      <c r="H180" s="5" t="n">
        <v>6.0038049E7</v>
      </c>
      <c r="I180" s="3" t="s">
        <v>71</v>
      </c>
      <c r="J180" s="11" t="s">
        <v>642</v>
      </c>
      <c r="K180" s="17" t="n">
        <v>3.5309</v>
      </c>
      <c r="L180" s="17" t="n">
        <v>3.5309</v>
      </c>
      <c r="M180" s="3" t="s">
        <v>20</v>
      </c>
      <c r="N180" s="3" t="s">
        <v>403</v>
      </c>
      <c r="O180" s="3" t="s">
        <v>643</v>
      </c>
      <c r="P180" s="12" t="str">
        <f>HYPERLINK("http://slimages.macys.com/is/image/MCY/1290611 ")</f>
      </c>
    </row>
    <row r="181" spans="1:16" ht="24.75">
      <c r="A181" s="9" t="s">
        <v>644</v>
      </c>
      <c r="B181" s="3" t="s">
        <v>645</v>
      </c>
      <c r="C181" s="5" t="n">
        <v>1.0</v>
      </c>
      <c r="D181" s="6" t="n">
        <v>11.25</v>
      </c>
      <c r="E181" s="6" t="n">
        <v>11.25</v>
      </c>
      <c r="F181" s="10" t="n">
        <v>26.99</v>
      </c>
      <c r="G181" s="6" t="n">
        <v>26.99</v>
      </c>
      <c r="H181" s="5" t="s">
        <v>646</v>
      </c>
      <c r="I181" s="3" t="s">
        <v>141</v>
      </c>
      <c r="J181" s="11" t="s">
        <v>411</v>
      </c>
      <c r="K181" s="17" t="n">
        <v>3.4875000000000003</v>
      </c>
      <c r="L181" s="17" t="n">
        <v>3.4875000000000003</v>
      </c>
      <c r="M181" s="3" t="s">
        <v>20</v>
      </c>
      <c r="N181" s="3" t="s">
        <v>647</v>
      </c>
      <c r="O181" s="3" t="s">
        <v>585</v>
      </c>
      <c r="P181" s="12" t="str">
        <f>HYPERLINK("http://slimages.macys.com/is/image/MCY/1914040 ")</f>
      </c>
    </row>
    <row r="182" spans="1:16" ht="24.75">
      <c r="A182" s="9" t="s">
        <v>648</v>
      </c>
      <c r="B182" s="3" t="s">
        <v>649</v>
      </c>
      <c r="C182" s="5" t="n">
        <v>1.0</v>
      </c>
      <c r="D182" s="6" t="n">
        <v>11.04</v>
      </c>
      <c r="E182" s="6" t="n">
        <v>11.04</v>
      </c>
      <c r="F182" s="10" t="n">
        <v>32.0</v>
      </c>
      <c r="G182" s="6" t="n">
        <v>32.0</v>
      </c>
      <c r="H182" s="5" t="s">
        <v>650</v>
      </c>
      <c r="I182" s="3" t="s">
        <v>119</v>
      </c>
      <c r="J182" s="11" t="s">
        <v>81</v>
      </c>
      <c r="K182" s="17" t="n">
        <v>3.4224000000000006</v>
      </c>
      <c r="L182" s="17" t="n">
        <v>3.4224000000000006</v>
      </c>
      <c r="M182" s="3" t="s">
        <v>20</v>
      </c>
      <c r="N182" s="3" t="s">
        <v>651</v>
      </c>
      <c r="O182" s="3" t="s">
        <v>652</v>
      </c>
      <c r="P182" s="12" t="str">
        <f>HYPERLINK("http://slimages.macys.com/is/image/MCY/2187951 ")</f>
      </c>
    </row>
    <row r="183" spans="1:16" ht="24.75">
      <c r="A183" s="9" t="s">
        <v>653</v>
      </c>
      <c r="B183" s="3" t="s">
        <v>654</v>
      </c>
      <c r="C183" s="5" t="n">
        <v>1.0</v>
      </c>
      <c r="D183" s="6" t="n">
        <v>11.0</v>
      </c>
      <c r="E183" s="6" t="n">
        <v>11.0</v>
      </c>
      <c r="F183" s="10" t="n">
        <v>39.99</v>
      </c>
      <c r="G183" s="6" t="n">
        <v>39.99</v>
      </c>
      <c r="H183" s="5" t="s">
        <v>655</v>
      </c>
      <c r="I183" s="3" t="s">
        <v>56</v>
      </c>
      <c r="J183" s="11" t="s">
        <v>81</v>
      </c>
      <c r="K183" s="17" t="n">
        <v>3.4100000000000006</v>
      </c>
      <c r="L183" s="17" t="n">
        <v>3.4100000000000006</v>
      </c>
      <c r="M183" s="3" t="s">
        <v>20</v>
      </c>
      <c r="N183" s="3" t="s">
        <v>229</v>
      </c>
      <c r="O183" s="3" t="s">
        <v>287</v>
      </c>
      <c r="P183" s="12" t="str">
        <f>HYPERLINK("http://slimages.macys.com/is/image/MCY/2223940 ")</f>
      </c>
    </row>
    <row r="184" spans="1:16" ht="24.75">
      <c r="A184" s="9" t="s">
        <v>656</v>
      </c>
      <c r="B184" s="3" t="s">
        <v>657</v>
      </c>
      <c r="C184" s="5" t="n">
        <v>3.0</v>
      </c>
      <c r="D184" s="6" t="n">
        <v>11.0</v>
      </c>
      <c r="E184" s="6" t="n">
        <v>33.0</v>
      </c>
      <c r="F184" s="10" t="n">
        <v>39.99</v>
      </c>
      <c r="G184" s="6" t="n">
        <v>119.97</v>
      </c>
      <c r="H184" s="5" t="s">
        <v>655</v>
      </c>
      <c r="I184" s="3" t="s">
        <v>56</v>
      </c>
      <c r="J184" s="11" t="s">
        <v>76</v>
      </c>
      <c r="K184" s="17" t="n">
        <v>3.4100000000000006</v>
      </c>
      <c r="L184" s="17" t="n">
        <v>10.23</v>
      </c>
      <c r="M184" s="3" t="s">
        <v>20</v>
      </c>
      <c r="N184" s="3" t="s">
        <v>229</v>
      </c>
      <c r="O184" s="3" t="s">
        <v>287</v>
      </c>
      <c r="P184" s="12" t="str">
        <f>HYPERLINK("http://slimages.macys.com/is/image/MCY/2223940 ")</f>
      </c>
    </row>
    <row r="185" spans="1:16" ht="24.75">
      <c r="A185" s="9" t="s">
        <v>658</v>
      </c>
      <c r="B185" s="3" t="s">
        <v>659</v>
      </c>
      <c r="C185" s="5" t="n">
        <v>1.0</v>
      </c>
      <c r="D185" s="6" t="n">
        <v>10.92</v>
      </c>
      <c r="E185" s="6" t="n">
        <v>10.92</v>
      </c>
      <c r="F185" s="10" t="n">
        <v>34.5</v>
      </c>
      <c r="G185" s="6" t="n">
        <v>34.5</v>
      </c>
      <c r="H185" s="5" t="s">
        <v>660</v>
      </c>
      <c r="I185" s="3" t="s">
        <v>661</v>
      </c>
      <c r="J185" s="11" t="s">
        <v>81</v>
      </c>
      <c r="K185" s="17" t="n">
        <v>3.3852</v>
      </c>
      <c r="L185" s="17" t="n">
        <v>3.3852</v>
      </c>
      <c r="M185" s="3" t="s">
        <v>20</v>
      </c>
      <c r="N185" s="3" t="s">
        <v>651</v>
      </c>
      <c r="O185" s="3" t="s">
        <v>652</v>
      </c>
      <c r="P185" s="12" t="str">
        <f>HYPERLINK("http://slimages.macys.com/is/image/MCY/1523123 ")</f>
      </c>
    </row>
    <row r="186" spans="1:16" ht="24.75">
      <c r="A186" s="9" t="s">
        <v>662</v>
      </c>
      <c r="B186" s="3" t="s">
        <v>663</v>
      </c>
      <c r="C186" s="5" t="n">
        <v>1.0</v>
      </c>
      <c r="D186" s="6" t="n">
        <v>10.92</v>
      </c>
      <c r="E186" s="6" t="n">
        <v>10.92</v>
      </c>
      <c r="F186" s="10" t="n">
        <v>34.5</v>
      </c>
      <c r="G186" s="6" t="n">
        <v>34.5</v>
      </c>
      <c r="H186" s="5" t="s">
        <v>660</v>
      </c>
      <c r="I186" s="3" t="s">
        <v>661</v>
      </c>
      <c r="J186" s="11" t="s">
        <v>35</v>
      </c>
      <c r="K186" s="17" t="n">
        <v>3.3852</v>
      </c>
      <c r="L186" s="17" t="n">
        <v>3.3852</v>
      </c>
      <c r="M186" s="3" t="s">
        <v>20</v>
      </c>
      <c r="N186" s="3" t="s">
        <v>651</v>
      </c>
      <c r="O186" s="3" t="s">
        <v>652</v>
      </c>
      <c r="P186" s="12" t="str">
        <f>HYPERLINK("http://slimages.macys.com/is/image/MCY/1523123 ")</f>
      </c>
    </row>
    <row r="187" spans="1:16" ht="24.75">
      <c r="A187" s="9" t="s">
        <v>664</v>
      </c>
      <c r="B187" s="3" t="s">
        <v>665</v>
      </c>
      <c r="C187" s="5" t="n">
        <v>1.0</v>
      </c>
      <c r="D187" s="6" t="n">
        <v>10.78</v>
      </c>
      <c r="E187" s="6" t="n">
        <v>10.78</v>
      </c>
      <c r="F187" s="10" t="n">
        <v>24.99</v>
      </c>
      <c r="G187" s="6" t="n">
        <v>24.99</v>
      </c>
      <c r="H187" s="5" t="s">
        <v>666</v>
      </c>
      <c r="I187" s="3" t="s">
        <v>71</v>
      </c>
      <c r="J187" s="11" t="s">
        <v>35</v>
      </c>
      <c r="K187" s="17" t="n">
        <v>3.3418</v>
      </c>
      <c r="L187" s="17" t="n">
        <v>3.3418</v>
      </c>
      <c r="M187" s="3" t="s">
        <v>20</v>
      </c>
      <c r="N187" s="3" t="s">
        <v>546</v>
      </c>
      <c r="O187" s="3" t="s">
        <v>547</v>
      </c>
      <c r="P187" s="12" t="str">
        <f>HYPERLINK("http://slimages.macys.com/is/image/MCY/1695926 ")</f>
      </c>
    </row>
    <row r="188" spans="1:16" ht="24.75">
      <c r="A188" s="9" t="s">
        <v>667</v>
      </c>
      <c r="B188" s="3" t="s">
        <v>668</v>
      </c>
      <c r="C188" s="5" t="n">
        <v>1.0</v>
      </c>
      <c r="D188" s="6" t="n">
        <v>10.5</v>
      </c>
      <c r="E188" s="6" t="n">
        <v>10.5</v>
      </c>
      <c r="F188" s="10" t="n">
        <v>24.99</v>
      </c>
      <c r="G188" s="6" t="n">
        <v>24.99</v>
      </c>
      <c r="H188" s="5" t="s">
        <v>669</v>
      </c>
      <c r="I188" s="3" t="s">
        <v>34</v>
      </c>
      <c r="J188" s="11" t="s">
        <v>57</v>
      </c>
      <c r="K188" s="17" t="n">
        <v>3.2550000000000003</v>
      </c>
      <c r="L188" s="17" t="n">
        <v>3.2550000000000003</v>
      </c>
      <c r="M188" s="3" t="s">
        <v>20</v>
      </c>
      <c r="N188" s="3" t="s">
        <v>670</v>
      </c>
      <c r="O188" s="3" t="s">
        <v>585</v>
      </c>
      <c r="P188" s="12" t="str">
        <f>HYPERLINK("http://slimages.macys.com/is/image/MCY/1914070 ")</f>
      </c>
    </row>
    <row r="189" spans="1:16" ht="24.75">
      <c r="A189" s="9" t="s">
        <v>671</v>
      </c>
      <c r="B189" s="3" t="s">
        <v>672</v>
      </c>
      <c r="C189" s="5" t="n">
        <v>1.0</v>
      </c>
      <c r="D189" s="6" t="n">
        <v>10.5</v>
      </c>
      <c r="E189" s="6" t="n">
        <v>10.5</v>
      </c>
      <c r="F189" s="10" t="n">
        <v>29.99</v>
      </c>
      <c r="G189" s="6" t="n">
        <v>29.99</v>
      </c>
      <c r="H189" s="5" t="s">
        <v>673</v>
      </c>
      <c r="I189" s="3" t="s">
        <v>402</v>
      </c>
      <c r="J189" s="11" t="s">
        <v>45</v>
      </c>
      <c r="K189" s="17" t="n">
        <v>3.2550000000000003</v>
      </c>
      <c r="L189" s="17" t="n">
        <v>3.2550000000000003</v>
      </c>
      <c r="M189" s="3" t="s">
        <v>20</v>
      </c>
      <c r="N189" s="3" t="s">
        <v>290</v>
      </c>
      <c r="O189" s="3" t="s">
        <v>362</v>
      </c>
      <c r="P189" s="12" t="str">
        <f>HYPERLINK("http://slimages.macys.com/is/image/MCY/2154077 ")</f>
      </c>
    </row>
    <row r="190" spans="1:16" ht="24.75">
      <c r="A190" s="9" t="s">
        <v>674</v>
      </c>
      <c r="B190" s="3" t="s">
        <v>675</v>
      </c>
      <c r="C190" s="5" t="n">
        <v>1.0</v>
      </c>
      <c r="D190" s="6" t="n">
        <v>10.5</v>
      </c>
      <c r="E190" s="6" t="n">
        <v>10.5</v>
      </c>
      <c r="F190" s="10" t="n">
        <v>24.99</v>
      </c>
      <c r="G190" s="6" t="n">
        <v>24.99</v>
      </c>
      <c r="H190" s="5" t="s">
        <v>676</v>
      </c>
      <c r="I190" s="3" t="s">
        <v>71</v>
      </c>
      <c r="J190" s="11" t="s">
        <v>677</v>
      </c>
      <c r="K190" s="17" t="n">
        <v>3.2550000000000003</v>
      </c>
      <c r="L190" s="17" t="n">
        <v>3.2550000000000003</v>
      </c>
      <c r="M190" s="3" t="s">
        <v>20</v>
      </c>
      <c r="N190" s="3" t="s">
        <v>647</v>
      </c>
      <c r="O190" s="3" t="s">
        <v>585</v>
      </c>
      <c r="P190" s="12" t="str">
        <f>HYPERLINK("http://slimages.macys.com/is/image/MCY/1969350 ")</f>
      </c>
    </row>
    <row r="191" spans="1:16" ht="24.75">
      <c r="A191" s="9" t="s">
        <v>678</v>
      </c>
      <c r="B191" s="3" t="s">
        <v>679</v>
      </c>
      <c r="C191" s="5" t="n">
        <v>1.0</v>
      </c>
      <c r="D191" s="6" t="n">
        <v>10.32</v>
      </c>
      <c r="E191" s="6" t="n">
        <v>10.32</v>
      </c>
      <c r="F191" s="10" t="n">
        <v>29.5</v>
      </c>
      <c r="G191" s="6" t="n">
        <v>29.5</v>
      </c>
      <c r="H191" s="5" t="s">
        <v>680</v>
      </c>
      <c r="I191" s="3" t="s">
        <v>681</v>
      </c>
      <c r="J191" s="11" t="s">
        <v>45</v>
      </c>
      <c r="K191" s="17" t="n">
        <v>3.1992000000000003</v>
      </c>
      <c r="L191" s="17" t="n">
        <v>3.1992000000000003</v>
      </c>
      <c r="M191" s="3" t="s">
        <v>20</v>
      </c>
      <c r="N191" s="3" t="s">
        <v>152</v>
      </c>
      <c r="O191" s="3" t="s">
        <v>153</v>
      </c>
      <c r="P191" s="12" t="str">
        <f>HYPERLINK("http://slimages.macys.com/is/image/MCY/2201079 ")</f>
      </c>
    </row>
    <row r="192" spans="1:16" ht="24.75">
      <c r="A192" s="9" t="s">
        <v>682</v>
      </c>
      <c r="B192" s="3" t="s">
        <v>683</v>
      </c>
      <c r="C192" s="5" t="n">
        <v>1.0</v>
      </c>
      <c r="D192" s="6" t="n">
        <v>10.25</v>
      </c>
      <c r="E192" s="6" t="n">
        <v>10.25</v>
      </c>
      <c r="F192" s="10" t="n">
        <v>24.99</v>
      </c>
      <c r="G192" s="6" t="n">
        <v>24.99</v>
      </c>
      <c r="H192" s="5" t="s">
        <v>684</v>
      </c>
      <c r="I192" s="3" t="s">
        <v>685</v>
      </c>
      <c r="J192" s="11" t="s">
        <v>72</v>
      </c>
      <c r="K192" s="17" t="n">
        <v>3.1774999999999998</v>
      </c>
      <c r="L192" s="17" t="n">
        <v>3.1774999999999998</v>
      </c>
      <c r="M192" s="3" t="s">
        <v>20</v>
      </c>
      <c r="N192" s="3" t="s">
        <v>670</v>
      </c>
      <c r="O192" s="3" t="s">
        <v>585</v>
      </c>
      <c r="P192" s="12" t="str">
        <f>HYPERLINK("http://slimages.macys.com/is/image/MCY/2212162 ")</f>
      </c>
    </row>
    <row r="193" spans="1:16" ht="24.75">
      <c r="A193" s="9" t="s">
        <v>686</v>
      </c>
      <c r="B193" s="3" t="s">
        <v>687</v>
      </c>
      <c r="C193" s="5" t="n">
        <v>1.0</v>
      </c>
      <c r="D193" s="6" t="n">
        <v>10.24</v>
      </c>
      <c r="E193" s="6" t="n">
        <v>10.24</v>
      </c>
      <c r="F193" s="10" t="n">
        <v>24.99</v>
      </c>
      <c r="G193" s="6" t="n">
        <v>24.99</v>
      </c>
      <c r="H193" s="5" t="s">
        <v>688</v>
      </c>
      <c r="I193" s="3" t="s">
        <v>171</v>
      </c>
      <c r="J193" s="11" t="s">
        <v>81</v>
      </c>
      <c r="K193" s="17" t="n">
        <v>3.1744000000000003</v>
      </c>
      <c r="L193" s="17" t="n">
        <v>3.1744000000000003</v>
      </c>
      <c r="M193" s="3" t="s">
        <v>20</v>
      </c>
      <c r="N193" s="3" t="s">
        <v>670</v>
      </c>
      <c r="O193" s="3" t="s">
        <v>689</v>
      </c>
      <c r="P193" s="12" t="str">
        <f>HYPERLINK("http://slimages.macys.com/is/image/MCY/2432361 ")</f>
      </c>
    </row>
    <row r="194" spans="1:16" ht="24.75">
      <c r="A194" s="9" t="s">
        <v>690</v>
      </c>
      <c r="B194" s="3" t="s">
        <v>691</v>
      </c>
      <c r="C194" s="5" t="n">
        <v>1.0</v>
      </c>
      <c r="D194" s="6" t="n">
        <v>9.96</v>
      </c>
      <c r="E194" s="6" t="n">
        <v>9.96</v>
      </c>
      <c r="F194" s="10" t="n">
        <v>32.0</v>
      </c>
      <c r="G194" s="6" t="n">
        <v>32.0</v>
      </c>
      <c r="H194" s="5" t="s">
        <v>692</v>
      </c>
      <c r="I194" s="3" t="s">
        <v>661</v>
      </c>
      <c r="J194" s="11" t="s">
        <v>45</v>
      </c>
      <c r="K194" s="17" t="n">
        <v>3.0876</v>
      </c>
      <c r="L194" s="17" t="n">
        <v>3.0876</v>
      </c>
      <c r="M194" s="3" t="s">
        <v>20</v>
      </c>
      <c r="N194" s="3" t="s">
        <v>651</v>
      </c>
      <c r="O194" s="3" t="s">
        <v>652</v>
      </c>
      <c r="P194" s="12" t="str">
        <f>HYPERLINK("http://slimages.macys.com/is/image/MCY/2177551 ")</f>
      </c>
    </row>
    <row r="195" spans="1:16" ht="24.75">
      <c r="A195" s="9" t="s">
        <v>693</v>
      </c>
      <c r="B195" s="3" t="s">
        <v>694</v>
      </c>
      <c r="C195" s="5" t="n">
        <v>1.0</v>
      </c>
      <c r="D195" s="6" t="n">
        <v>9.75</v>
      </c>
      <c r="E195" s="6" t="n">
        <v>9.75</v>
      </c>
      <c r="F195" s="10" t="n">
        <v>29.5</v>
      </c>
      <c r="G195" s="6" t="n">
        <v>29.5</v>
      </c>
      <c r="H195" s="5" t="s">
        <v>695</v>
      </c>
      <c r="I195" s="3" t="s">
        <v>696</v>
      </c>
      <c r="J195" s="11" t="s">
        <v>76</v>
      </c>
      <c r="K195" s="17" t="n">
        <v>3.0225</v>
      </c>
      <c r="L195" s="17" t="n">
        <v>3.0225</v>
      </c>
      <c r="M195" s="3" t="s">
        <v>20</v>
      </c>
      <c r="N195" s="3" t="s">
        <v>651</v>
      </c>
      <c r="O195" s="3" t="s">
        <v>652</v>
      </c>
      <c r="P195" s="12" t="str">
        <f>HYPERLINK("http://slimages.macys.com/is/image/MCY/1450889 ")</f>
      </c>
    </row>
    <row r="196" spans="1:16" ht="24.75">
      <c r="A196" s="9" t="s">
        <v>697</v>
      </c>
      <c r="B196" s="3" t="s">
        <v>698</v>
      </c>
      <c r="C196" s="5" t="n">
        <v>1.0</v>
      </c>
      <c r="D196" s="6" t="n">
        <v>9.5</v>
      </c>
      <c r="E196" s="6" t="n">
        <v>9.5</v>
      </c>
      <c r="F196" s="10" t="n">
        <v>24.99</v>
      </c>
      <c r="G196" s="6" t="n">
        <v>24.99</v>
      </c>
      <c r="H196" s="5" t="s">
        <v>699</v>
      </c>
      <c r="I196" s="3" t="s">
        <v>685</v>
      </c>
      <c r="J196" s="11" t="s">
        <v>81</v>
      </c>
      <c r="K196" s="17" t="n">
        <v>2.945</v>
      </c>
      <c r="L196" s="17" t="n">
        <v>2.945</v>
      </c>
      <c r="M196" s="3" t="s">
        <v>20</v>
      </c>
      <c r="N196" s="3" t="s">
        <v>670</v>
      </c>
      <c r="O196" s="3" t="s">
        <v>585</v>
      </c>
      <c r="P196" s="12" t="str">
        <f>HYPERLINK("http://slimages.macys.com/is/image/MCY/2341510 ")</f>
      </c>
    </row>
    <row r="197" spans="1:16" ht="24.75">
      <c r="A197" s="9" t="s">
        <v>700</v>
      </c>
      <c r="B197" s="3" t="s">
        <v>701</v>
      </c>
      <c r="C197" s="5" t="n">
        <v>1.0</v>
      </c>
      <c r="D197" s="6" t="n">
        <v>9.5</v>
      </c>
      <c r="E197" s="6" t="n">
        <v>9.5</v>
      </c>
      <c r="F197" s="10" t="n">
        <v>21.98</v>
      </c>
      <c r="G197" s="6" t="n">
        <v>21.98</v>
      </c>
      <c r="H197" s="5" t="s">
        <v>702</v>
      </c>
      <c r="I197" s="3" t="s">
        <v>71</v>
      </c>
      <c r="J197" s="11" t="s">
        <v>328</v>
      </c>
      <c r="K197" s="17" t="n">
        <v>2.945</v>
      </c>
      <c r="L197" s="17" t="n">
        <v>2.945</v>
      </c>
      <c r="M197" s="3" t="s">
        <v>20</v>
      </c>
      <c r="N197" s="3" t="s">
        <v>263</v>
      </c>
      <c r="O197" s="3" t="s">
        <v>264</v>
      </c>
      <c r="P197" s="12" t="str">
        <f>HYPERLINK("http://slimages.macys.com/is/image/MCY/1643157 ")</f>
      </c>
    </row>
    <row r="198" spans="1:16" ht="24.75">
      <c r="A198" s="9" t="s">
        <v>703</v>
      </c>
      <c r="B198" s="3" t="s">
        <v>704</v>
      </c>
      <c r="C198" s="5" t="n">
        <v>1.0</v>
      </c>
      <c r="D198" s="6" t="n">
        <v>9.5</v>
      </c>
      <c r="E198" s="6" t="n">
        <v>9.5</v>
      </c>
      <c r="F198" s="10" t="n">
        <v>21.98</v>
      </c>
      <c r="G198" s="6" t="n">
        <v>21.98</v>
      </c>
      <c r="H198" s="5" t="s">
        <v>702</v>
      </c>
      <c r="I198" s="3" t="s">
        <v>71</v>
      </c>
      <c r="J198" s="11" t="s">
        <v>262</v>
      </c>
      <c r="K198" s="17" t="n">
        <v>2.945</v>
      </c>
      <c r="L198" s="17" t="n">
        <v>2.945</v>
      </c>
      <c r="M198" s="3" t="s">
        <v>20</v>
      </c>
      <c r="N198" s="3" t="s">
        <v>263</v>
      </c>
      <c r="O198" s="3" t="s">
        <v>264</v>
      </c>
      <c r="P198" s="12" t="str">
        <f>HYPERLINK("http://slimages.macys.com/is/image/MCY/1643157 ")</f>
      </c>
    </row>
    <row r="199" spans="1:16" ht="24.75">
      <c r="A199" s="9" t="s">
        <v>705</v>
      </c>
      <c r="B199" s="3" t="s">
        <v>706</v>
      </c>
      <c r="C199" s="5" t="n">
        <v>1.0</v>
      </c>
      <c r="D199" s="6" t="n">
        <v>9.3</v>
      </c>
      <c r="E199" s="6" t="n">
        <v>9.3</v>
      </c>
      <c r="F199" s="10" t="n">
        <v>19.98</v>
      </c>
      <c r="G199" s="6" t="n">
        <v>19.98</v>
      </c>
      <c r="H199" s="5" t="s">
        <v>707</v>
      </c>
      <c r="I199" s="3" t="s">
        <v>151</v>
      </c>
      <c r="J199" s="11" t="s">
        <v>345</v>
      </c>
      <c r="K199" s="17" t="n">
        <v>2.8830000000000005</v>
      </c>
      <c r="L199" s="17" t="n">
        <v>2.8830000000000005</v>
      </c>
      <c r="M199" s="3" t="s">
        <v>20</v>
      </c>
      <c r="N199" s="3" t="s">
        <v>647</v>
      </c>
      <c r="O199" s="3" t="s">
        <v>585</v>
      </c>
      <c r="P199" s="12" t="str">
        <f>HYPERLINK("http://slimages.macys.com/is/image/MCY/2369548 ")</f>
      </c>
    </row>
    <row r="200" spans="1:16" ht="24.75">
      <c r="A200" s="9" t="s">
        <v>708</v>
      </c>
      <c r="B200" s="3" t="s">
        <v>709</v>
      </c>
      <c r="C200" s="5" t="n">
        <v>1.0</v>
      </c>
      <c r="D200" s="6" t="n">
        <v>9.3</v>
      </c>
      <c r="E200" s="6" t="n">
        <v>9.3</v>
      </c>
      <c r="F200" s="10" t="n">
        <v>19.98</v>
      </c>
      <c r="G200" s="6" t="n">
        <v>19.98</v>
      </c>
      <c r="H200" s="5" t="s">
        <v>710</v>
      </c>
      <c r="I200" s="3" t="s">
        <v>607</v>
      </c>
      <c r="J200" s="11" t="s">
        <v>1196</v>
      </c>
      <c r="K200" s="17" t="n">
        <v>2.8830000000000005</v>
      </c>
      <c r="L200" s="17" t="n">
        <v>2.8830000000000005</v>
      </c>
      <c r="M200" s="3" t="s">
        <v>20</v>
      </c>
      <c r="N200" s="3" t="s">
        <v>647</v>
      </c>
      <c r="O200" s="3" t="s">
        <v>585</v>
      </c>
      <c r="P200" s="12" t="str">
        <f>HYPERLINK("http://slimages.macys.com/is/image/MCY/2303456 ")</f>
      </c>
    </row>
    <row r="201" spans="1:16" ht="24.75">
      <c r="A201" s="9" t="s">
        <v>711</v>
      </c>
      <c r="B201" s="3" t="s">
        <v>712</v>
      </c>
      <c r="C201" s="5" t="n">
        <v>1.0</v>
      </c>
      <c r="D201" s="6" t="n">
        <v>9.3</v>
      </c>
      <c r="E201" s="6" t="n">
        <v>9.3</v>
      </c>
      <c r="F201" s="10" t="n">
        <v>19.98</v>
      </c>
      <c r="G201" s="6" t="n">
        <v>19.98</v>
      </c>
      <c r="H201" s="5" t="s">
        <v>713</v>
      </c>
      <c r="I201" s="3" t="s">
        <v>607</v>
      </c>
      <c r="J201" s="11" t="s">
        <v>1196</v>
      </c>
      <c r="K201" s="17" t="n">
        <v>2.8830000000000005</v>
      </c>
      <c r="L201" s="17" t="n">
        <v>2.8830000000000005</v>
      </c>
      <c r="M201" s="3" t="s">
        <v>20</v>
      </c>
      <c r="N201" s="3" t="s">
        <v>647</v>
      </c>
      <c r="O201" s="3" t="s">
        <v>585</v>
      </c>
      <c r="P201" s="12" t="str">
        <f>HYPERLINK("http://slimages.macys.com/is/image/MCY/2369548 ")</f>
      </c>
    </row>
    <row r="202" spans="1:16" ht="24.75">
      <c r="A202" s="9" t="s">
        <v>714</v>
      </c>
      <c r="B202" s="3" t="s">
        <v>715</v>
      </c>
      <c r="C202" s="5" t="n">
        <v>1.0</v>
      </c>
      <c r="D202" s="6" t="n">
        <v>9.15</v>
      </c>
      <c r="E202" s="6" t="n">
        <v>9.15</v>
      </c>
      <c r="F202" s="10" t="n">
        <v>21.99</v>
      </c>
      <c r="G202" s="6" t="n">
        <v>21.99</v>
      </c>
      <c r="H202" s="5" t="s">
        <v>716</v>
      </c>
      <c r="I202" s="3" t="s">
        <v>717</v>
      </c>
      <c r="J202" s="11" t="s">
        <v>81</v>
      </c>
      <c r="K202" s="17" t="n">
        <v>2.8365</v>
      </c>
      <c r="L202" s="17" t="n">
        <v>2.8365</v>
      </c>
      <c r="M202" s="3" t="s">
        <v>20</v>
      </c>
      <c r="N202" s="3" t="s">
        <v>670</v>
      </c>
      <c r="O202" s="3" t="s">
        <v>585</v>
      </c>
      <c r="P202" s="12" t="str">
        <f>HYPERLINK("http://slimages.macys.com/is/image/MCY/2166850 ")</f>
      </c>
    </row>
    <row r="203" spans="1:16" ht="24.75">
      <c r="A203" s="9" t="s">
        <v>718</v>
      </c>
      <c r="B203" s="3" t="s">
        <v>719</v>
      </c>
      <c r="C203" s="5" t="n">
        <v>1.0</v>
      </c>
      <c r="D203" s="6" t="n">
        <v>8.99</v>
      </c>
      <c r="E203" s="6" t="n">
        <v>8.99</v>
      </c>
      <c r="F203" s="10" t="n">
        <v>21.99</v>
      </c>
      <c r="G203" s="6" t="n">
        <v>21.99</v>
      </c>
      <c r="H203" s="5" t="s">
        <v>720</v>
      </c>
      <c r="I203" s="3" t="s">
        <v>71</v>
      </c>
      <c r="J203" s="11" t="s">
        <v>721</v>
      </c>
      <c r="K203" s="17" t="n">
        <v>2.7869</v>
      </c>
      <c r="L203" s="17" t="n">
        <v>2.7869</v>
      </c>
      <c r="M203" s="3" t="s">
        <v>20</v>
      </c>
      <c r="N203" s="3" t="s">
        <v>283</v>
      </c>
      <c r="O203" s="3" t="s">
        <v>264</v>
      </c>
      <c r="P203" s="12" t="str">
        <f>HYPERLINK("http://slimages.macys.com/is/image/MCY/973974 ")</f>
      </c>
    </row>
    <row r="204" spans="1:16" ht="24.75">
      <c r="A204" s="9" t="s">
        <v>722</v>
      </c>
      <c r="B204" s="3" t="s">
        <v>723</v>
      </c>
      <c r="C204" s="5" t="n">
        <v>1.0</v>
      </c>
      <c r="D204" s="6" t="n">
        <v>8.75</v>
      </c>
      <c r="E204" s="6" t="n">
        <v>8.75</v>
      </c>
      <c r="F204" s="10" t="n">
        <v>19.99</v>
      </c>
      <c r="G204" s="6" t="n">
        <v>19.99</v>
      </c>
      <c r="H204" s="5" t="s">
        <v>724</v>
      </c>
      <c r="I204" s="3" t="s">
        <v>141</v>
      </c>
      <c r="J204" s="11" t="s">
        <v>45</v>
      </c>
      <c r="K204" s="17" t="n">
        <v>2.7125</v>
      </c>
      <c r="L204" s="17" t="n">
        <v>2.7125</v>
      </c>
      <c r="M204" s="3" t="s">
        <v>20</v>
      </c>
      <c r="N204" s="3" t="s">
        <v>670</v>
      </c>
      <c r="O204" s="3" t="s">
        <v>585</v>
      </c>
      <c r="P204" s="12" t="str">
        <f>HYPERLINK("http://slimages.macys.com/is/image/MCY/2198958 ")</f>
      </c>
    </row>
    <row r="205" spans="1:16" ht="24.75">
      <c r="A205" s="9" t="s">
        <v>725</v>
      </c>
      <c r="B205" s="3" t="s">
        <v>726</v>
      </c>
      <c r="C205" s="5" t="n">
        <v>1.0</v>
      </c>
      <c r="D205" s="6" t="n">
        <v>8.75</v>
      </c>
      <c r="E205" s="6" t="n">
        <v>8.75</v>
      </c>
      <c r="F205" s="10" t="n">
        <v>24.0</v>
      </c>
      <c r="G205" s="6" t="n">
        <v>24.0</v>
      </c>
      <c r="H205" s="5" t="s">
        <v>727</v>
      </c>
      <c r="I205" s="3" t="s">
        <v>380</v>
      </c>
      <c r="J205" s="11" t="s">
        <v>1196</v>
      </c>
      <c r="K205" s="17" t="n">
        <v>2.7125</v>
      </c>
      <c r="L205" s="17" t="n">
        <v>2.7125</v>
      </c>
      <c r="M205" s="3" t="s">
        <v>20</v>
      </c>
      <c r="N205" s="3" t="s">
        <v>279</v>
      </c>
      <c r="O205" s="3" t="s">
        <v>244</v>
      </c>
      <c r="P205" s="12" t="str">
        <f>HYPERLINK("http://slimages.macys.com/is/image/MCY/2175969 ")</f>
      </c>
    </row>
    <row r="206" spans="1:16" ht="24.75">
      <c r="A206" s="9" t="s">
        <v>728</v>
      </c>
      <c r="B206" s="3" t="s">
        <v>729</v>
      </c>
      <c r="C206" s="5" t="n">
        <v>1.0</v>
      </c>
      <c r="D206" s="6" t="n">
        <v>8.75</v>
      </c>
      <c r="E206" s="6" t="n">
        <v>8.75</v>
      </c>
      <c r="F206" s="10" t="n">
        <v>18.99</v>
      </c>
      <c r="G206" s="6" t="n">
        <v>18.99</v>
      </c>
      <c r="H206" s="5" t="s">
        <v>730</v>
      </c>
      <c r="I206" s="3" t="s">
        <v>56</v>
      </c>
      <c r="J206" s="11" t="s">
        <v>45</v>
      </c>
      <c r="K206" s="17" t="n">
        <v>2.7125</v>
      </c>
      <c r="L206" s="17" t="n">
        <v>2.7125</v>
      </c>
      <c r="M206" s="3" t="s">
        <v>20</v>
      </c>
      <c r="N206" s="3" t="s">
        <v>670</v>
      </c>
      <c r="O206" s="3" t="s">
        <v>585</v>
      </c>
      <c r="P206" s="12" t="str">
        <f>HYPERLINK("http://slimages.macys.com/is/image/MCY/2341568 ")</f>
      </c>
    </row>
    <row r="207" spans="1:16" ht="24.75">
      <c r="A207" s="9" t="s">
        <v>731</v>
      </c>
      <c r="B207" s="3" t="s">
        <v>732</v>
      </c>
      <c r="C207" s="5" t="n">
        <v>1.0</v>
      </c>
      <c r="D207" s="6" t="n">
        <v>8.6</v>
      </c>
      <c r="E207" s="6" t="n">
        <v>8.6</v>
      </c>
      <c r="F207" s="10" t="n">
        <v>16.99</v>
      </c>
      <c r="G207" s="6" t="n">
        <v>16.99</v>
      </c>
      <c r="H207" s="5" t="s">
        <v>733</v>
      </c>
      <c r="I207" s="3" t="s">
        <v>34</v>
      </c>
      <c r="J207" s="11" t="s">
        <v>57</v>
      </c>
      <c r="K207" s="17" t="n">
        <v>2.666</v>
      </c>
      <c r="L207" s="17" t="n">
        <v>2.666</v>
      </c>
      <c r="M207" s="3" t="s">
        <v>20</v>
      </c>
      <c r="N207" s="3" t="s">
        <v>670</v>
      </c>
      <c r="O207" s="3" t="s">
        <v>585</v>
      </c>
      <c r="P207" s="12" t="str">
        <f>HYPERLINK("http://slimages.macys.com/is/image/MCY/2077576 ")</f>
      </c>
    </row>
    <row r="208" spans="1:16" ht="24.75">
      <c r="A208" s="9" t="s">
        <v>734</v>
      </c>
      <c r="B208" s="3" t="s">
        <v>735</v>
      </c>
      <c r="C208" s="5" t="n">
        <v>1.0</v>
      </c>
      <c r="D208" s="6" t="n">
        <v>8.54</v>
      </c>
      <c r="E208" s="6" t="n">
        <v>8.54</v>
      </c>
      <c r="F208" s="10" t="n">
        <v>19.99</v>
      </c>
      <c r="G208" s="6" t="n">
        <v>19.99</v>
      </c>
      <c r="H208" s="5" t="s">
        <v>736</v>
      </c>
      <c r="I208" s="3" t="s">
        <v>71</v>
      </c>
      <c r="J208" s="11" t="s">
        <v>35</v>
      </c>
      <c r="K208" s="17" t="n">
        <v>2.6474</v>
      </c>
      <c r="L208" s="17" t="n">
        <v>2.6474</v>
      </c>
      <c r="M208" s="3" t="s">
        <v>20</v>
      </c>
      <c r="N208" s="3" t="s">
        <v>670</v>
      </c>
      <c r="O208" s="3" t="s">
        <v>585</v>
      </c>
      <c r="P208" s="12" t="str">
        <f>HYPERLINK("http://slimages.macys.com/is/image/MCY/2292170 ")</f>
      </c>
    </row>
    <row r="209" spans="1:16" ht="24.75">
      <c r="A209" s="9" t="s">
        <v>737</v>
      </c>
      <c r="B209" s="3" t="s">
        <v>738</v>
      </c>
      <c r="C209" s="5" t="n">
        <v>1.0</v>
      </c>
      <c r="D209" s="6" t="n">
        <v>8.4</v>
      </c>
      <c r="E209" s="6" t="n">
        <v>8.4</v>
      </c>
      <c r="F209" s="10" t="n">
        <v>17.98</v>
      </c>
      <c r="G209" s="6" t="n">
        <v>17.98</v>
      </c>
      <c r="H209" s="5" t="s">
        <v>739</v>
      </c>
      <c r="I209" s="3" t="s">
        <v>141</v>
      </c>
      <c r="J209" s="11" t="s">
        <v>328</v>
      </c>
      <c r="K209" s="17" t="n">
        <v>2.604</v>
      </c>
      <c r="L209" s="17" t="n">
        <v>2.604</v>
      </c>
      <c r="M209" s="3" t="s">
        <v>20</v>
      </c>
      <c r="N209" s="3" t="s">
        <v>584</v>
      </c>
      <c r="O209" s="3" t="s">
        <v>547</v>
      </c>
      <c r="P209" s="12" t="str">
        <f>HYPERLINK("http://slimages.macys.com/is/image/MCY/1788722 ")</f>
      </c>
    </row>
    <row r="210" spans="1:16" ht="24.75">
      <c r="A210" s="9" t="s">
        <v>740</v>
      </c>
      <c r="B210" s="3" t="s">
        <v>741</v>
      </c>
      <c r="C210" s="5" t="n">
        <v>1.0</v>
      </c>
      <c r="D210" s="6" t="n">
        <v>8.33</v>
      </c>
      <c r="E210" s="6" t="n">
        <v>8.33</v>
      </c>
      <c r="F210" s="10" t="n">
        <v>19.99</v>
      </c>
      <c r="G210" s="6" t="n">
        <v>19.99</v>
      </c>
      <c r="H210" s="5" t="s">
        <v>742</v>
      </c>
      <c r="I210" s="3" t="s">
        <v>607</v>
      </c>
      <c r="J210" s="11" t="s">
        <v>76</v>
      </c>
      <c r="K210" s="17" t="n">
        <v>2.5823</v>
      </c>
      <c r="L210" s="17" t="n">
        <v>2.5823</v>
      </c>
      <c r="M210" s="3" t="s">
        <v>20</v>
      </c>
      <c r="N210" s="3" t="s">
        <v>546</v>
      </c>
      <c r="O210" s="3" t="s">
        <v>547</v>
      </c>
      <c r="P210" s="12" t="str">
        <f>HYPERLINK("http://slimages.macys.com/is/image/MCY/1723855 ")</f>
      </c>
    </row>
    <row r="211" spans="1:16" ht="24.75">
      <c r="A211" s="9" t="s">
        <v>743</v>
      </c>
      <c r="B211" s="3" t="s">
        <v>744</v>
      </c>
      <c r="C211" s="5" t="n">
        <v>1.0</v>
      </c>
      <c r="D211" s="6" t="n">
        <v>7.77</v>
      </c>
      <c r="E211" s="6" t="n">
        <v>7.77</v>
      </c>
      <c r="F211" s="10" t="n">
        <v>22.99</v>
      </c>
      <c r="G211" s="6" t="n">
        <v>22.99</v>
      </c>
      <c r="H211" s="5" t="s">
        <v>745</v>
      </c>
      <c r="I211" s="3" t="s">
        <v>746</v>
      </c>
      <c r="J211" s="11" t="s">
        <v>1196</v>
      </c>
      <c r="K211" s="17" t="n">
        <v>2.4087</v>
      </c>
      <c r="L211" s="17" t="n">
        <v>2.4087</v>
      </c>
      <c r="M211" s="3" t="s">
        <v>20</v>
      </c>
      <c r="N211" s="3" t="s">
        <v>647</v>
      </c>
      <c r="O211" s="3" t="s">
        <v>689</v>
      </c>
      <c r="P211" s="12" t="str">
        <f>HYPERLINK("http://slimages.macys.com/is/image/MCY/2446658 ")</f>
      </c>
    </row>
    <row r="212" spans="1:16" ht="24.75">
      <c r="A212" s="9" t="s">
        <v>747</v>
      </c>
      <c r="B212" s="3" t="s">
        <v>748</v>
      </c>
      <c r="C212" s="5" t="n">
        <v>1.0</v>
      </c>
      <c r="D212" s="6" t="n">
        <v>7.77</v>
      </c>
      <c r="E212" s="6" t="n">
        <v>7.77</v>
      </c>
      <c r="F212" s="10" t="n">
        <v>22.99</v>
      </c>
      <c r="G212" s="6" t="n">
        <v>22.99</v>
      </c>
      <c r="H212" s="5" t="s">
        <v>749</v>
      </c>
      <c r="I212" s="3" t="s">
        <v>1196</v>
      </c>
      <c r="J212" s="11" t="s">
        <v>1196</v>
      </c>
      <c r="K212" s="17" t="n">
        <v>2.4087</v>
      </c>
      <c r="L212" s="17" t="n">
        <v>2.4087</v>
      </c>
      <c r="M212" s="3" t="s">
        <v>20</v>
      </c>
      <c r="N212" s="3" t="s">
        <v>647</v>
      </c>
      <c r="O212" s="3" t="s">
        <v>689</v>
      </c>
      <c r="P212" s="12" t="str">
        <f>HYPERLINK("http://slimages.macys.com/is/image/MCY/2446658 ")</f>
      </c>
    </row>
    <row r="213" spans="1:16" ht="24.75">
      <c r="A213" s="9" t="s">
        <v>750</v>
      </c>
      <c r="B213" s="3" t="s">
        <v>751</v>
      </c>
      <c r="C213" s="5" t="n">
        <v>2.0</v>
      </c>
      <c r="D213" s="6" t="n">
        <v>7.77</v>
      </c>
      <c r="E213" s="6" t="n">
        <v>15.54</v>
      </c>
      <c r="F213" s="10" t="n">
        <v>22.99</v>
      </c>
      <c r="G213" s="6" t="n">
        <v>45.98</v>
      </c>
      <c r="H213" s="5" t="s">
        <v>749</v>
      </c>
      <c r="I213" s="3" t="s">
        <v>1196</v>
      </c>
      <c r="J213" s="11" t="s">
        <v>1196</v>
      </c>
      <c r="K213" s="17" t="n">
        <v>2.4087</v>
      </c>
      <c r="L213" s="17" t="n">
        <v>4.8174</v>
      </c>
      <c r="M213" s="3" t="s">
        <v>20</v>
      </c>
      <c r="N213" s="3" t="s">
        <v>647</v>
      </c>
      <c r="O213" s="3" t="s">
        <v>689</v>
      </c>
      <c r="P213" s="12" t="str">
        <f>HYPERLINK("http://slimages.macys.com/is/image/MCY/2446658 ")</f>
      </c>
    </row>
    <row r="214" spans="1:16" ht="24.75">
      <c r="A214" s="9" t="s">
        <v>752</v>
      </c>
      <c r="B214" s="3" t="s">
        <v>753</v>
      </c>
      <c r="C214" s="5" t="n">
        <v>1.0</v>
      </c>
      <c r="D214" s="6" t="n">
        <v>7.77</v>
      </c>
      <c r="E214" s="6" t="n">
        <v>7.77</v>
      </c>
      <c r="F214" s="10" t="n">
        <v>22.99</v>
      </c>
      <c r="G214" s="6" t="n">
        <v>22.99</v>
      </c>
      <c r="H214" s="5" t="s">
        <v>754</v>
      </c>
      <c r="I214" s="3" t="s">
        <v>1196</v>
      </c>
      <c r="J214" s="11" t="s">
        <v>1196</v>
      </c>
      <c r="K214" s="17" t="n">
        <v>2.4087</v>
      </c>
      <c r="L214" s="17" t="n">
        <v>2.4087</v>
      </c>
      <c r="M214" s="3" t="s">
        <v>20</v>
      </c>
      <c r="N214" s="3" t="s">
        <v>647</v>
      </c>
      <c r="O214" s="3" t="s">
        <v>689</v>
      </c>
      <c r="P214" s="12" t="str">
        <f>HYPERLINK("http://slimages.macys.com/is/image/MCY/2446658 ")</f>
      </c>
    </row>
    <row r="215" spans="1:16" ht="24.75">
      <c r="A215" s="9" t="s">
        <v>755</v>
      </c>
      <c r="B215" s="3" t="s">
        <v>756</v>
      </c>
      <c r="C215" s="5" t="n">
        <v>1.0</v>
      </c>
      <c r="D215" s="6" t="n">
        <v>7.77</v>
      </c>
      <c r="E215" s="6" t="n">
        <v>7.77</v>
      </c>
      <c r="F215" s="10" t="n">
        <v>22.99</v>
      </c>
      <c r="G215" s="6" t="n">
        <v>22.99</v>
      </c>
      <c r="H215" s="5" t="s">
        <v>745</v>
      </c>
      <c r="I215" s="3" t="s">
        <v>746</v>
      </c>
      <c r="J215" s="11" t="s">
        <v>1196</v>
      </c>
      <c r="K215" s="17" t="n">
        <v>2.4087</v>
      </c>
      <c r="L215" s="17" t="n">
        <v>2.4087</v>
      </c>
      <c r="M215" s="3" t="s">
        <v>20</v>
      </c>
      <c r="N215" s="3" t="s">
        <v>647</v>
      </c>
      <c r="O215" s="3" t="s">
        <v>689</v>
      </c>
      <c r="P215" s="12" t="str">
        <f>HYPERLINK("http://slimages.macys.com/is/image/MCY/2446658 ")</f>
      </c>
    </row>
    <row r="216" spans="1:16" ht="24.75">
      <c r="A216" s="9" t="s">
        <v>757</v>
      </c>
      <c r="B216" s="3" t="s">
        <v>758</v>
      </c>
      <c r="C216" s="5" t="n">
        <v>1.0</v>
      </c>
      <c r="D216" s="6" t="n">
        <v>7.21</v>
      </c>
      <c r="E216" s="6" t="n">
        <v>7.21</v>
      </c>
      <c r="F216" s="10" t="n">
        <v>17.98</v>
      </c>
      <c r="G216" s="6" t="n">
        <v>17.98</v>
      </c>
      <c r="H216" s="5" t="s">
        <v>759</v>
      </c>
      <c r="I216" s="3" t="s">
        <v>380</v>
      </c>
      <c r="J216" s="11" t="s">
        <v>1196</v>
      </c>
      <c r="K216" s="17" t="n">
        <v>2.2351</v>
      </c>
      <c r="L216" s="17" t="n">
        <v>2.2351</v>
      </c>
      <c r="M216" s="3" t="s">
        <v>20</v>
      </c>
      <c r="N216" s="3" t="s">
        <v>279</v>
      </c>
      <c r="O216" s="3" t="s">
        <v>244</v>
      </c>
      <c r="P216" s="12" t="str">
        <f>HYPERLINK("http://slimages.macys.com/is/image/MCY/2086858 ")</f>
      </c>
    </row>
    <row r="217" spans="1:16" ht="24.75">
      <c r="A217" s="9" t="s">
        <v>760</v>
      </c>
      <c r="B217" s="3" t="s">
        <v>761</v>
      </c>
      <c r="C217" s="5" t="n">
        <v>1.0</v>
      </c>
      <c r="D217" s="6" t="n">
        <v>6.51</v>
      </c>
      <c r="E217" s="6" t="n">
        <v>6.51</v>
      </c>
      <c r="F217" s="10" t="n">
        <v>14.99</v>
      </c>
      <c r="G217" s="6" t="n">
        <v>14.99</v>
      </c>
      <c r="H217" s="5" t="s">
        <v>762</v>
      </c>
      <c r="I217" s="3" t="s">
        <v>56</v>
      </c>
      <c r="J217" s="11" t="s">
        <v>35</v>
      </c>
      <c r="K217" s="17" t="n">
        <v>2.0181</v>
      </c>
      <c r="L217" s="17" t="n">
        <v>2.0181</v>
      </c>
      <c r="M217" s="3" t="s">
        <v>20</v>
      </c>
      <c r="N217" s="3" t="s">
        <v>491</v>
      </c>
      <c r="O217" s="3" t="s">
        <v>492</v>
      </c>
      <c r="P217" s="12" t="str">
        <f>HYPERLINK("http://slimages.macys.com/is/image/MCY/2278214 ")</f>
      </c>
    </row>
    <row r="218" spans="1:16" ht="24.75">
      <c r="A218" s="9" t="s">
        <v>763</v>
      </c>
      <c r="B218" s="3" t="s">
        <v>764</v>
      </c>
      <c r="C218" s="5" t="n">
        <v>1.0</v>
      </c>
      <c r="D218" s="6" t="n">
        <v>6.47</v>
      </c>
      <c r="E218" s="6" t="n">
        <v>6.47</v>
      </c>
      <c r="F218" s="10" t="n">
        <v>12.98</v>
      </c>
      <c r="G218" s="6" t="n">
        <v>12.98</v>
      </c>
      <c r="H218" s="5" t="s">
        <v>765</v>
      </c>
      <c r="I218" s="3" t="s">
        <v>1196</v>
      </c>
      <c r="J218" s="11" t="s">
        <v>262</v>
      </c>
      <c r="K218" s="17" t="n">
        <v>2.0057</v>
      </c>
      <c r="L218" s="17" t="n">
        <v>2.0057</v>
      </c>
      <c r="M218" s="3" t="s">
        <v>20</v>
      </c>
      <c r="N218" s="3" t="s">
        <v>584</v>
      </c>
      <c r="O218" s="3" t="s">
        <v>585</v>
      </c>
      <c r="P218" s="12" t="str">
        <f>HYPERLINK("http://slimages.macys.com/is/image/MCY/2143190 ")</f>
      </c>
    </row>
    <row r="219" spans="1:16" ht="24.75">
      <c r="A219" s="9" t="s">
        <v>766</v>
      </c>
      <c r="B219" s="3" t="s">
        <v>767</v>
      </c>
      <c r="C219" s="5" t="n">
        <v>1.0</v>
      </c>
      <c r="D219" s="6" t="n">
        <v>6.47</v>
      </c>
      <c r="E219" s="6" t="n">
        <v>6.47</v>
      </c>
      <c r="F219" s="10" t="n">
        <v>12.98</v>
      </c>
      <c r="G219" s="6" t="n">
        <v>12.98</v>
      </c>
      <c r="H219" s="5" t="s">
        <v>765</v>
      </c>
      <c r="I219" s="3" t="s">
        <v>1196</v>
      </c>
      <c r="J219" s="11" t="s">
        <v>328</v>
      </c>
      <c r="K219" s="17" t="n">
        <v>2.0057</v>
      </c>
      <c r="L219" s="17" t="n">
        <v>2.0057</v>
      </c>
      <c r="M219" s="3" t="s">
        <v>20</v>
      </c>
      <c r="N219" s="3" t="s">
        <v>584</v>
      </c>
      <c r="O219" s="3" t="s">
        <v>585</v>
      </c>
      <c r="P219" s="12" t="str">
        <f>HYPERLINK("http://slimages.macys.com/is/image/MCY/2143190 ")</f>
      </c>
    </row>
    <row r="220" spans="1:16" ht="24.75">
      <c r="A220" s="9" t="s">
        <v>768</v>
      </c>
      <c r="B220" s="3" t="s">
        <v>769</v>
      </c>
      <c r="C220" s="5" t="n">
        <v>1.0</v>
      </c>
      <c r="D220" s="6" t="n">
        <v>6.47</v>
      </c>
      <c r="E220" s="6" t="n">
        <v>6.47</v>
      </c>
      <c r="F220" s="10" t="n">
        <v>12.98</v>
      </c>
      <c r="G220" s="6" t="n">
        <v>12.98</v>
      </c>
      <c r="H220" s="5" t="s">
        <v>770</v>
      </c>
      <c r="I220" s="3" t="s">
        <v>258</v>
      </c>
      <c r="J220" s="11" t="s">
        <v>1196</v>
      </c>
      <c r="K220" s="17" t="n">
        <v>2.0057</v>
      </c>
      <c r="L220" s="17" t="n">
        <v>2.0057</v>
      </c>
      <c r="M220" s="3" t="s">
        <v>20</v>
      </c>
      <c r="N220" s="3" t="s">
        <v>584</v>
      </c>
      <c r="O220" s="3" t="s">
        <v>585</v>
      </c>
      <c r="P220" s="12" t="str">
        <f>HYPERLINK("http://slimages.macys.com/is/image/MCY/2179698 ")</f>
      </c>
    </row>
    <row r="221" spans="1:16" ht="24.75">
      <c r="A221" s="9" t="s">
        <v>771</v>
      </c>
      <c r="B221" s="3" t="s">
        <v>772</v>
      </c>
      <c r="C221" s="5" t="n">
        <v>1.0</v>
      </c>
      <c r="D221" s="6" t="n">
        <v>6.29</v>
      </c>
      <c r="E221" s="6" t="n">
        <v>6.29</v>
      </c>
      <c r="F221" s="10" t="n">
        <v>16.99</v>
      </c>
      <c r="G221" s="6" t="n">
        <v>16.99</v>
      </c>
      <c r="H221" s="5" t="s">
        <v>773</v>
      </c>
      <c r="I221" s="3" t="s">
        <v>171</v>
      </c>
      <c r="J221" s="11" t="s">
        <v>1196</v>
      </c>
      <c r="K221" s="17" t="n">
        <v>1.9499</v>
      </c>
      <c r="L221" s="17" t="n">
        <v>1.9499</v>
      </c>
      <c r="M221" s="3" t="s">
        <v>20</v>
      </c>
      <c r="N221" s="3" t="s">
        <v>647</v>
      </c>
      <c r="O221" s="3" t="s">
        <v>689</v>
      </c>
      <c r="P221" s="12" t="str">
        <f>HYPERLINK("http://slimages.macys.com/is/image/MCY/2369552 ")</f>
      </c>
    </row>
    <row r="222" spans="1:16" ht="24.75">
      <c r="A222" s="9" t="s">
        <v>774</v>
      </c>
      <c r="B222" s="3" t="s">
        <v>775</v>
      </c>
      <c r="C222" s="5" t="n">
        <v>2.0</v>
      </c>
      <c r="D222" s="6" t="n">
        <v>6.29</v>
      </c>
      <c r="E222" s="6" t="n">
        <v>12.58</v>
      </c>
      <c r="F222" s="10" t="n">
        <v>16.99</v>
      </c>
      <c r="G222" s="6" t="n">
        <v>33.98</v>
      </c>
      <c r="H222" s="5" t="s">
        <v>773</v>
      </c>
      <c r="I222" s="3" t="s">
        <v>171</v>
      </c>
      <c r="J222" s="11" t="s">
        <v>1196</v>
      </c>
      <c r="K222" s="17" t="n">
        <v>1.9499</v>
      </c>
      <c r="L222" s="17" t="n">
        <v>3.8998</v>
      </c>
      <c r="M222" s="3" t="s">
        <v>20</v>
      </c>
      <c r="N222" s="3" t="s">
        <v>647</v>
      </c>
      <c r="O222" s="3" t="s">
        <v>689</v>
      </c>
      <c r="P222" s="12" t="str">
        <f>HYPERLINK("http://slimages.macys.com/is/image/MCY/2369552 ")</f>
      </c>
    </row>
    <row r="223" spans="1:16" ht="24.75">
      <c r="A223" s="9" t="s">
        <v>776</v>
      </c>
      <c r="B223" s="3" t="s">
        <v>777</v>
      </c>
      <c r="C223" s="5" t="n">
        <v>1.0</v>
      </c>
      <c r="D223" s="6" t="n">
        <v>6.29</v>
      </c>
      <c r="E223" s="6" t="n">
        <v>6.29</v>
      </c>
      <c r="F223" s="10" t="n">
        <v>16.99</v>
      </c>
      <c r="G223" s="6" t="n">
        <v>16.99</v>
      </c>
      <c r="H223" s="5" t="s">
        <v>778</v>
      </c>
      <c r="I223" s="3" t="s">
        <v>746</v>
      </c>
      <c r="J223" s="11" t="s">
        <v>1196</v>
      </c>
      <c r="K223" s="17" t="n">
        <v>1.9499</v>
      </c>
      <c r="L223" s="17" t="n">
        <v>1.9499</v>
      </c>
      <c r="M223" s="3" t="s">
        <v>20</v>
      </c>
      <c r="N223" s="3" t="s">
        <v>647</v>
      </c>
      <c r="O223" s="3" t="s">
        <v>689</v>
      </c>
      <c r="P223" s="12" t="str">
        <f>HYPERLINK("http://slimages.macys.com/is/image/MCY/2369565 ")</f>
      </c>
    </row>
    <row r="224" spans="1:16" ht="24.75">
      <c r="A224" s="9" t="s">
        <v>779</v>
      </c>
      <c r="B224" s="3" t="s">
        <v>780</v>
      </c>
      <c r="C224" s="5" t="n">
        <v>1.0</v>
      </c>
      <c r="D224" s="6" t="n">
        <v>6.29</v>
      </c>
      <c r="E224" s="6" t="n">
        <v>6.29</v>
      </c>
      <c r="F224" s="10" t="n">
        <v>16.99</v>
      </c>
      <c r="G224" s="6" t="n">
        <v>16.99</v>
      </c>
      <c r="H224" s="5" t="s">
        <v>781</v>
      </c>
      <c r="I224" s="3" t="s">
        <v>1196</v>
      </c>
      <c r="J224" s="11" t="s">
        <v>1196</v>
      </c>
      <c r="K224" s="17" t="n">
        <v>1.9499</v>
      </c>
      <c r="L224" s="17" t="n">
        <v>1.9499</v>
      </c>
      <c r="M224" s="3" t="s">
        <v>20</v>
      </c>
      <c r="N224" s="3" t="s">
        <v>647</v>
      </c>
      <c r="O224" s="3" t="s">
        <v>689</v>
      </c>
      <c r="P224" s="12" t="str">
        <f>HYPERLINK("http://slimages.macys.com/is/image/MCY/2369552 ")</f>
      </c>
    </row>
    <row r="225" spans="1:16" ht="24.75">
      <c r="A225" s="9" t="s">
        <v>782</v>
      </c>
      <c r="B225" s="3" t="s">
        <v>783</v>
      </c>
      <c r="C225" s="5" t="n">
        <v>2.0</v>
      </c>
      <c r="D225" s="6" t="n">
        <v>6.29</v>
      </c>
      <c r="E225" s="6" t="n">
        <v>12.58</v>
      </c>
      <c r="F225" s="10" t="n">
        <v>16.99</v>
      </c>
      <c r="G225" s="6" t="n">
        <v>33.98</v>
      </c>
      <c r="H225" s="5" t="s">
        <v>778</v>
      </c>
      <c r="I225" s="3" t="s">
        <v>746</v>
      </c>
      <c r="J225" s="11" t="s">
        <v>1196</v>
      </c>
      <c r="K225" s="17" t="n">
        <v>1.9499</v>
      </c>
      <c r="L225" s="17" t="n">
        <v>3.8998</v>
      </c>
      <c r="M225" s="3" t="s">
        <v>20</v>
      </c>
      <c r="N225" s="3" t="s">
        <v>647</v>
      </c>
      <c r="O225" s="3" t="s">
        <v>689</v>
      </c>
      <c r="P225" s="12" t="str">
        <f>HYPERLINK("http://slimages.macys.com/is/image/MCY/2369565 ")</f>
      </c>
    </row>
    <row r="226" spans="1:16" ht="24.75">
      <c r="A226" s="9" t="s">
        <v>784</v>
      </c>
      <c r="B226" s="3" t="s">
        <v>785</v>
      </c>
      <c r="C226" s="5" t="n">
        <v>1.0</v>
      </c>
      <c r="D226" s="6" t="n">
        <v>6.24</v>
      </c>
      <c r="E226" s="6" t="n">
        <v>6.24</v>
      </c>
      <c r="F226" s="10" t="n">
        <v>19.5</v>
      </c>
      <c r="G226" s="6" t="n">
        <v>19.5</v>
      </c>
      <c r="H226" s="5" t="s">
        <v>786</v>
      </c>
      <c r="I226" s="3" t="s">
        <v>141</v>
      </c>
      <c r="J226" s="11" t="s">
        <v>81</v>
      </c>
      <c r="K226" s="17" t="n">
        <v>1.9344000000000001</v>
      </c>
      <c r="L226" s="17" t="n">
        <v>1.9344000000000001</v>
      </c>
      <c r="M226" s="3" t="s">
        <v>20</v>
      </c>
      <c r="N226" s="3" t="s">
        <v>152</v>
      </c>
      <c r="O226" s="3" t="s">
        <v>153</v>
      </c>
      <c r="P226" s="12" t="str">
        <f>HYPERLINK("http://slimages.macys.com/is/image/MCY/1644626 ")</f>
      </c>
    </row>
    <row r="227" spans="1:16" ht="24.75">
      <c r="A227" s="9" t="s">
        <v>787</v>
      </c>
      <c r="B227" s="3" t="s">
        <v>788</v>
      </c>
      <c r="C227" s="5" t="n">
        <v>1.0</v>
      </c>
      <c r="D227" s="6" t="n">
        <v>6.15</v>
      </c>
      <c r="E227" s="6" t="n">
        <v>6.15</v>
      </c>
      <c r="F227" s="10" t="n">
        <v>14.99</v>
      </c>
      <c r="G227" s="6" t="n">
        <v>14.99</v>
      </c>
      <c r="H227" s="5" t="s">
        <v>789</v>
      </c>
      <c r="I227" s="3" t="s">
        <v>75</v>
      </c>
      <c r="J227" s="11" t="s">
        <v>45</v>
      </c>
      <c r="K227" s="17" t="n">
        <v>1.9065</v>
      </c>
      <c r="L227" s="17" t="n">
        <v>1.9065</v>
      </c>
      <c r="M227" s="3" t="s">
        <v>20</v>
      </c>
      <c r="N227" s="3" t="s">
        <v>670</v>
      </c>
      <c r="O227" s="3" t="s">
        <v>585</v>
      </c>
      <c r="P227" s="12" t="str">
        <f>HYPERLINK("http://slimages.macys.com/is/image/MCY/1473134 ")</f>
      </c>
    </row>
    <row r="228" spans="1:16" ht="24.75">
      <c r="A228" s="9" t="s">
        <v>790</v>
      </c>
      <c r="B228" s="3" t="s">
        <v>791</v>
      </c>
      <c r="C228" s="5" t="n">
        <v>1.0</v>
      </c>
      <c r="D228" s="6" t="n">
        <v>6.12</v>
      </c>
      <c r="E228" s="6" t="n">
        <v>6.12</v>
      </c>
      <c r="F228" s="10" t="n">
        <v>14.99</v>
      </c>
      <c r="G228" s="6" t="n">
        <v>14.99</v>
      </c>
      <c r="H228" s="5" t="s">
        <v>792</v>
      </c>
      <c r="I228" s="3" t="s">
        <v>66</v>
      </c>
      <c r="J228" s="11" t="s">
        <v>45</v>
      </c>
      <c r="K228" s="17" t="n">
        <v>1.8972</v>
      </c>
      <c r="L228" s="17" t="n">
        <v>1.8972</v>
      </c>
      <c r="M228" s="3" t="s">
        <v>20</v>
      </c>
      <c r="N228" s="3" t="s">
        <v>670</v>
      </c>
      <c r="O228" s="3" t="s">
        <v>585</v>
      </c>
      <c r="P228" s="12" t="str">
        <f>HYPERLINK("http://slimages.macys.com/is/image/MCY/2007054 ")</f>
      </c>
    </row>
    <row r="229" spans="1:16" ht="24.75">
      <c r="A229" s="9" t="s">
        <v>793</v>
      </c>
      <c r="B229" s="3" t="s">
        <v>794</v>
      </c>
      <c r="C229" s="5" t="n">
        <v>1.0</v>
      </c>
      <c r="D229" s="6" t="n">
        <v>6.1</v>
      </c>
      <c r="E229" s="6" t="n">
        <v>6.1</v>
      </c>
      <c r="F229" s="10" t="n">
        <v>12.98</v>
      </c>
      <c r="G229" s="6" t="n">
        <v>12.98</v>
      </c>
      <c r="H229" s="5" t="s">
        <v>795</v>
      </c>
      <c r="I229" s="3" t="s">
        <v>402</v>
      </c>
      <c r="J229" s="11" t="s">
        <v>1196</v>
      </c>
      <c r="K229" s="17" t="n">
        <v>1.891</v>
      </c>
      <c r="L229" s="17" t="n">
        <v>1.891</v>
      </c>
      <c r="M229" s="3" t="s">
        <v>20</v>
      </c>
      <c r="N229" s="3" t="s">
        <v>584</v>
      </c>
      <c r="O229" s="3" t="s">
        <v>585</v>
      </c>
      <c r="P229" s="12" t="str">
        <f>HYPERLINK("http://slimages.macys.com/is/image/MCY/2157801 ")</f>
      </c>
    </row>
    <row r="230" spans="1:16" ht="24.75">
      <c r="A230" s="9" t="s">
        <v>796</v>
      </c>
      <c r="B230" s="3" t="s">
        <v>797</v>
      </c>
      <c r="C230" s="5" t="n">
        <v>1.0</v>
      </c>
      <c r="D230" s="6" t="n">
        <v>6.1</v>
      </c>
      <c r="E230" s="6" t="n">
        <v>6.1</v>
      </c>
      <c r="F230" s="10" t="n">
        <v>12.98</v>
      </c>
      <c r="G230" s="6" t="n">
        <v>12.98</v>
      </c>
      <c r="H230" s="5" t="s">
        <v>798</v>
      </c>
      <c r="I230" s="3" t="s">
        <v>1196</v>
      </c>
      <c r="J230" s="11" t="s">
        <v>1196</v>
      </c>
      <c r="K230" s="17" t="n">
        <v>1.891</v>
      </c>
      <c r="L230" s="17" t="n">
        <v>1.891</v>
      </c>
      <c r="M230" s="3" t="s">
        <v>20</v>
      </c>
      <c r="N230" s="3" t="s">
        <v>584</v>
      </c>
      <c r="O230" s="3" t="s">
        <v>585</v>
      </c>
      <c r="P230" s="12" t="str">
        <f>HYPERLINK("http://slimages.macys.com/is/image/MCY/2157801 ")</f>
      </c>
    </row>
    <row r="231" spans="1:16" ht="24.75">
      <c r="A231" s="9" t="s">
        <v>799</v>
      </c>
      <c r="B231" s="3" t="s">
        <v>800</v>
      </c>
      <c r="C231" s="5" t="n">
        <v>1.0</v>
      </c>
      <c r="D231" s="6" t="n">
        <v>6.1</v>
      </c>
      <c r="E231" s="6" t="n">
        <v>6.1</v>
      </c>
      <c r="F231" s="10" t="n">
        <v>12.98</v>
      </c>
      <c r="G231" s="6" t="n">
        <v>12.98</v>
      </c>
      <c r="H231" s="5" t="s">
        <v>798</v>
      </c>
      <c r="I231" s="3" t="s">
        <v>1196</v>
      </c>
      <c r="J231" s="11" t="s">
        <v>328</v>
      </c>
      <c r="K231" s="17" t="n">
        <v>1.891</v>
      </c>
      <c r="L231" s="17" t="n">
        <v>1.891</v>
      </c>
      <c r="M231" s="3" t="s">
        <v>20</v>
      </c>
      <c r="N231" s="3" t="s">
        <v>584</v>
      </c>
      <c r="O231" s="3" t="s">
        <v>585</v>
      </c>
      <c r="P231" s="12" t="str">
        <f>HYPERLINK("http://slimages.macys.com/is/image/MCY/2157801 ")</f>
      </c>
    </row>
    <row r="232" spans="1:16" ht="24.75">
      <c r="A232" s="9" t="s">
        <v>801</v>
      </c>
      <c r="B232" s="3" t="s">
        <v>802</v>
      </c>
      <c r="C232" s="5" t="n">
        <v>1.0</v>
      </c>
      <c r="D232" s="6" t="n">
        <v>5.62</v>
      </c>
      <c r="E232" s="6" t="n">
        <v>5.62</v>
      </c>
      <c r="F232" s="10" t="n">
        <v>10.98</v>
      </c>
      <c r="G232" s="6" t="n">
        <v>10.98</v>
      </c>
      <c r="H232" s="5" t="s">
        <v>803</v>
      </c>
      <c r="I232" s="3" t="s">
        <v>258</v>
      </c>
      <c r="J232" s="11" t="s">
        <v>1196</v>
      </c>
      <c r="K232" s="17" t="n">
        <v>1.7422000000000002</v>
      </c>
      <c r="L232" s="17" t="n">
        <v>1.7422000000000002</v>
      </c>
      <c r="M232" s="3" t="s">
        <v>20</v>
      </c>
      <c r="N232" s="3" t="s">
        <v>647</v>
      </c>
      <c r="O232" s="3" t="s">
        <v>585</v>
      </c>
      <c r="P232" s="12" t="str">
        <f>HYPERLINK("http://slimages.macys.com/is/image/MCY/2166291 ")</f>
      </c>
    </row>
    <row r="233" spans="1:16" ht="24.75">
      <c r="A233" s="9" t="s">
        <v>804</v>
      </c>
      <c r="B233" s="3" t="s">
        <v>805</v>
      </c>
      <c r="C233" s="5" t="n">
        <v>2.0</v>
      </c>
      <c r="D233" s="6" t="n">
        <v>5.62</v>
      </c>
      <c r="E233" s="6" t="n">
        <v>11.24</v>
      </c>
      <c r="F233" s="10" t="n">
        <v>10.98</v>
      </c>
      <c r="G233" s="6" t="n">
        <v>21.96</v>
      </c>
      <c r="H233" s="5" t="s">
        <v>806</v>
      </c>
      <c r="I233" s="3" t="s">
        <v>361</v>
      </c>
      <c r="J233" s="11" t="s">
        <v>1196</v>
      </c>
      <c r="K233" s="17" t="n">
        <v>1.7422000000000002</v>
      </c>
      <c r="L233" s="17" t="n">
        <v>3.4844000000000004</v>
      </c>
      <c r="M233" s="3" t="s">
        <v>20</v>
      </c>
      <c r="N233" s="3" t="s">
        <v>647</v>
      </c>
      <c r="O233" s="3" t="s">
        <v>585</v>
      </c>
      <c r="P233" s="12" t="str">
        <f>HYPERLINK("http://slimages.macys.com/is/image/MCY/2142105 ")</f>
      </c>
    </row>
    <row r="234" spans="1:16" ht="24.75">
      <c r="A234" s="9" t="s">
        <v>807</v>
      </c>
      <c r="B234" s="3" t="s">
        <v>808</v>
      </c>
      <c r="C234" s="5" t="n">
        <v>1.0</v>
      </c>
      <c r="D234" s="6" t="n">
        <v>5.62</v>
      </c>
      <c r="E234" s="6" t="n">
        <v>5.62</v>
      </c>
      <c r="F234" s="10" t="n">
        <v>10.98</v>
      </c>
      <c r="G234" s="6" t="n">
        <v>10.98</v>
      </c>
      <c r="H234" s="5" t="s">
        <v>803</v>
      </c>
      <c r="I234" s="3" t="s">
        <v>258</v>
      </c>
      <c r="J234" s="11" t="s">
        <v>1196</v>
      </c>
      <c r="K234" s="17" t="n">
        <v>1.7422000000000002</v>
      </c>
      <c r="L234" s="17" t="n">
        <v>1.7422000000000002</v>
      </c>
      <c r="M234" s="3" t="s">
        <v>20</v>
      </c>
      <c r="N234" s="3" t="s">
        <v>647</v>
      </c>
      <c r="O234" s="3" t="s">
        <v>585</v>
      </c>
      <c r="P234" s="12" t="str">
        <f>HYPERLINK("http://slimages.macys.com/is/image/MCY/2166291 ")</f>
      </c>
    </row>
    <row r="235" spans="1:16" ht="24.75">
      <c r="A235" s="9" t="s">
        <v>809</v>
      </c>
      <c r="B235" s="3" t="s">
        <v>810</v>
      </c>
      <c r="C235" s="5" t="n">
        <v>1.0</v>
      </c>
      <c r="D235" s="6" t="n">
        <v>4.7</v>
      </c>
      <c r="E235" s="6" t="n">
        <v>4.7</v>
      </c>
      <c r="F235" s="10" t="n">
        <v>10.98</v>
      </c>
      <c r="G235" s="6" t="n">
        <v>10.98</v>
      </c>
      <c r="H235" s="5" t="s">
        <v>811</v>
      </c>
      <c r="I235" s="3" t="s">
        <v>56</v>
      </c>
      <c r="J235" s="11" t="s">
        <v>72</v>
      </c>
      <c r="K235" s="17" t="n">
        <v>1.4569999999999999</v>
      </c>
      <c r="L235" s="17" t="n">
        <v>1.4569999999999999</v>
      </c>
      <c r="M235" s="3" t="s">
        <v>20</v>
      </c>
      <c r="N235" s="3" t="s">
        <v>670</v>
      </c>
      <c r="O235" s="3" t="s">
        <v>585</v>
      </c>
      <c r="P235" s="12" t="str">
        <f>HYPERLINK("http://slimages.macys.com/is/image/MCY/2174797 ")</f>
      </c>
    </row>
    <row r="236" spans="1:16" ht="24.75">
      <c r="A236" s="9" t="s">
        <v>812</v>
      </c>
      <c r="B236" s="3" t="s">
        <v>813</v>
      </c>
      <c r="C236" s="5" t="n">
        <v>1.0</v>
      </c>
      <c r="D236" s="6" t="n">
        <v>41.4</v>
      </c>
      <c r="E236" s="6" t="n">
        <v>41.4</v>
      </c>
      <c r="F236" s="10" t="n">
        <v>90.0</v>
      </c>
      <c r="G236" s="6" t="n">
        <v>90.0</v>
      </c>
      <c r="H236" s="5" t="n">
        <v>620247.0</v>
      </c>
      <c r="I236" s="3" t="s">
        <v>171</v>
      </c>
      <c r="J236" s="11" t="s">
        <v>76</v>
      </c>
      <c r="K236" s="17" t="n">
        <v>12.834</v>
      </c>
      <c r="L236" s="17" t="n">
        <v>12.834</v>
      </c>
      <c r="M236" s="3" t="s">
        <v>20</v>
      </c>
      <c r="N236" s="3" t="s">
        <v>352</v>
      </c>
      <c r="O236" s="3" t="s">
        <v>353</v>
      </c>
      <c r="P236" s="12" t="str">
        <f>HYPERLINK("http://slimages.macys.com/is/image/MCY/2174797 ")</f>
      </c>
    </row>
    <row r="237" spans="1:16" ht="24.75">
      <c r="A237" s="9" t="s">
        <v>814</v>
      </c>
      <c r="B237" s="3" t="s">
        <v>815</v>
      </c>
      <c r="C237" s="5" t="n">
        <v>1.0</v>
      </c>
      <c r="D237" s="6" t="n">
        <v>37.73</v>
      </c>
      <c r="E237" s="6" t="n">
        <v>37.73</v>
      </c>
      <c r="F237" s="10" t="n">
        <v>99.0</v>
      </c>
      <c r="G237" s="6" t="n">
        <v>99.0</v>
      </c>
      <c r="H237" s="5" t="s">
        <v>816</v>
      </c>
      <c r="I237" s="3" t="s">
        <v>94</v>
      </c>
      <c r="J237" s="11" t="s">
        <v>35</v>
      </c>
      <c r="K237" s="17" t="n">
        <v>11.6963</v>
      </c>
      <c r="L237" s="17" t="n">
        <v>11.6963</v>
      </c>
      <c r="M237" s="3" t="s">
        <v>20</v>
      </c>
      <c r="N237" s="3" t="s">
        <v>95</v>
      </c>
      <c r="O237" s="3" t="s">
        <v>96</v>
      </c>
      <c r="P237" s="12" t="str">
        <f>HYPERLINK("http://slimages.macys.com/is/image/MCY/2174797 ")</f>
      </c>
    </row>
    <row r="238" spans="1:16" ht="24.75">
      <c r="A238" s="9" t="s">
        <v>817</v>
      </c>
      <c r="B238" s="3" t="s">
        <v>818</v>
      </c>
      <c r="C238" s="5" t="n">
        <v>1.0</v>
      </c>
      <c r="D238" s="6" t="n">
        <v>37.12</v>
      </c>
      <c r="E238" s="6" t="n">
        <v>37.12</v>
      </c>
      <c r="F238" s="10" t="n">
        <v>99.0</v>
      </c>
      <c r="G238" s="6" t="n">
        <v>99.0</v>
      </c>
      <c r="H238" s="5" t="n">
        <v>9154224.0</v>
      </c>
      <c r="I238" s="3" t="s">
        <v>34</v>
      </c>
      <c r="J238" s="11" t="s">
        <v>61</v>
      </c>
      <c r="K238" s="17" t="n">
        <v>11.507200000000001</v>
      </c>
      <c r="L238" s="17" t="n">
        <v>11.507200000000001</v>
      </c>
      <c r="M238" s="3" t="s">
        <v>20</v>
      </c>
      <c r="N238" s="3" t="s">
        <v>62</v>
      </c>
      <c r="O238" s="3" t="s">
        <v>63</v>
      </c>
      <c r="P238" s="12" t="str">
        <f>HYPERLINK("http://slimages.macys.com/is/image/MCY/2174797 ")</f>
        <v xml:space="preserve"/>
      </c>
    </row>
    <row r="239" spans="1:16">
      <c r="A239" s="9" t="s">
        <v>819</v>
      </c>
      <c r="B239" s="3" t="s">
        <v>820</v>
      </c>
      <c r="C239" s="5" t="n">
        <v>1.0</v>
      </c>
      <c r="D239" s="6" t="n">
        <v>33.0</v>
      </c>
      <c r="E239" s="6" t="n">
        <v>33.0</v>
      </c>
      <c r="F239" s="10" t="n">
        <v>68.0</v>
      </c>
      <c r="G239" s="6" t="n">
        <v>68.0</v>
      </c>
      <c r="H239" s="5" t="s">
        <v>821</v>
      </c>
      <c r="I239" s="3" t="s">
        <v>1196</v>
      </c>
      <c r="J239" s="11" t="s">
        <v>35</v>
      </c>
      <c r="K239" s="17" t="n">
        <v>10.23</v>
      </c>
      <c r="L239" s="17" t="n">
        <v>10.23</v>
      </c>
      <c r="M239" s="3" t="s">
        <v>20</v>
      </c>
      <c r="N239" s="3" t="s">
        <v>204</v>
      </c>
      <c r="O239" s="3" t="s">
        <v>188</v>
      </c>
      <c r="P239" s="12" t="s">
        <v>1196</v>
      </c>
    </row>
    <row r="240" spans="1:16">
      <c r="A240" s="9" t="s">
        <v>822</v>
      </c>
      <c r="B240" s="3" t="s">
        <v>823</v>
      </c>
      <c r="C240" s="5" t="n">
        <v>1.0</v>
      </c>
      <c r="D240" s="6" t="n">
        <v>33.0</v>
      </c>
      <c r="E240" s="6" t="n">
        <v>33.0</v>
      </c>
      <c r="F240" s="10" t="n">
        <v>68.0</v>
      </c>
      <c r="G240" s="6" t="n">
        <v>68.0</v>
      </c>
      <c r="H240" s="5" t="n">
        <v>96166.0</v>
      </c>
      <c r="I240" s="3" t="s">
        <v>71</v>
      </c>
      <c r="J240" s="11" t="s">
        <v>35</v>
      </c>
      <c r="K240" s="17" t="n">
        <v>10.23</v>
      </c>
      <c r="L240" s="17" t="n">
        <v>10.23</v>
      </c>
      <c r="M240" s="3" t="s">
        <v>20</v>
      </c>
      <c r="N240" s="3" t="s">
        <v>204</v>
      </c>
      <c r="O240" s="3" t="s">
        <v>188</v>
      </c>
      <c r="P240" s="12" t="s">
        <v>1196</v>
      </c>
    </row>
    <row r="241" spans="1:16" ht="24.75">
      <c r="A241" s="9" t="s">
        <v>824</v>
      </c>
      <c r="B241" s="3" t="s">
        <v>825</v>
      </c>
      <c r="C241" s="5" t="n">
        <v>1.0</v>
      </c>
      <c r="D241" s="6" t="n">
        <v>31.0</v>
      </c>
      <c r="E241" s="6" t="n">
        <v>31.0</v>
      </c>
      <c r="F241" s="10" t="n">
        <v>64.0</v>
      </c>
      <c r="G241" s="6" t="n">
        <v>64.0</v>
      </c>
      <c r="H241" s="5" t="s">
        <v>826</v>
      </c>
      <c r="I241" s="3" t="s">
        <v>1196</v>
      </c>
      <c r="J241" s="11" t="s">
        <v>1196</v>
      </c>
      <c r="K241" s="17" t="n">
        <v>9.610000000000001</v>
      </c>
      <c r="L241" s="17" t="n">
        <v>9.610000000000001</v>
      </c>
      <c r="M241" s="3" t="s">
        <v>20</v>
      </c>
      <c r="N241" s="3" t="s">
        <v>218</v>
      </c>
      <c r="O241" s="3" t="s">
        <v>188</v>
      </c>
      <c r="P241" s="12" t="s">
        <v>1196</v>
      </c>
    </row>
    <row r="242" spans="1:16" ht="24.75">
      <c r="A242" s="9" t="s">
        <v>827</v>
      </c>
      <c r="B242" s="3" t="s">
        <v>828</v>
      </c>
      <c r="C242" s="5" t="n">
        <v>1.0</v>
      </c>
      <c r="D242" s="6" t="n">
        <v>31.0</v>
      </c>
      <c r="E242" s="6" t="n">
        <v>31.0</v>
      </c>
      <c r="F242" s="10" t="n">
        <v>64.0</v>
      </c>
      <c r="G242" s="6" t="n">
        <v>64.0</v>
      </c>
      <c r="H242" s="5" t="s">
        <v>829</v>
      </c>
      <c r="I242" s="3" t="s">
        <v>141</v>
      </c>
      <c r="J242" s="11" t="s">
        <v>76</v>
      </c>
      <c r="K242" s="17" t="n">
        <v>9.610000000000001</v>
      </c>
      <c r="L242" s="17" t="n">
        <v>9.610000000000001</v>
      </c>
      <c r="M242" s="3" t="s">
        <v>20</v>
      </c>
      <c r="N242" s="3" t="s">
        <v>204</v>
      </c>
      <c r="O242" s="3" t="s">
        <v>188</v>
      </c>
      <c r="P242" s="12" t="s">
        <v>1196</v>
      </c>
    </row>
    <row r="243" spans="1:16" ht="24.75">
      <c r="A243" s="9" t="s">
        <v>830</v>
      </c>
      <c r="B243" s="3" t="s">
        <v>831</v>
      </c>
      <c r="C243" s="5" t="n">
        <v>1.0</v>
      </c>
      <c r="D243" s="6" t="n">
        <v>31.0</v>
      </c>
      <c r="E243" s="6" t="n">
        <v>31.0</v>
      </c>
      <c r="F243" s="10" t="n">
        <v>64.0</v>
      </c>
      <c r="G243" s="6" t="n">
        <v>64.0</v>
      </c>
      <c r="H243" s="5" t="s">
        <v>832</v>
      </c>
      <c r="I243" s="3" t="s">
        <v>141</v>
      </c>
      <c r="J243" s="11" t="s">
        <v>833</v>
      </c>
      <c r="K243" s="17" t="n">
        <v>9.610000000000001</v>
      </c>
      <c r="L243" s="17" t="n">
        <v>9.610000000000001</v>
      </c>
      <c r="M243" s="3" t="s">
        <v>20</v>
      </c>
      <c r="N243" s="3" t="s">
        <v>218</v>
      </c>
      <c r="O243" s="3" t="s">
        <v>188</v>
      </c>
      <c r="P243" s="12" t="s">
        <v>1196</v>
      </c>
    </row>
    <row r="244" spans="1:16" ht="24.75">
      <c r="A244" s="9" t="s">
        <v>834</v>
      </c>
      <c r="B244" s="3" t="s">
        <v>835</v>
      </c>
      <c r="C244" s="5" t="n">
        <v>1.0</v>
      </c>
      <c r="D244" s="6" t="n">
        <v>30.03</v>
      </c>
      <c r="E244" s="6" t="n">
        <v>30.03</v>
      </c>
      <c r="F244" s="10" t="n">
        <v>79.0</v>
      </c>
      <c r="G244" s="6" t="n">
        <v>79.0</v>
      </c>
      <c r="H244" s="5" t="s">
        <v>836</v>
      </c>
      <c r="I244" s="3" t="s">
        <v>66</v>
      </c>
      <c r="J244" s="11" t="s">
        <v>45</v>
      </c>
      <c r="K244" s="17" t="n">
        <v>9.3093</v>
      </c>
      <c r="L244" s="17" t="n">
        <v>9.3093</v>
      </c>
      <c r="M244" s="3" t="s">
        <v>20</v>
      </c>
      <c r="N244" s="3" t="s">
        <v>95</v>
      </c>
      <c r="O244" s="3" t="s">
        <v>96</v>
      </c>
      <c r="P244" s="12" t="s">
        <v>1196</v>
      </c>
    </row>
    <row r="245" spans="1:16" ht="24.75">
      <c r="A245" s="9" t="s">
        <v>837</v>
      </c>
      <c r="B245" s="3" t="s">
        <v>838</v>
      </c>
      <c r="C245" s="5" t="n">
        <v>1.0</v>
      </c>
      <c r="D245" s="6" t="n">
        <v>29.62</v>
      </c>
      <c r="E245" s="6" t="n">
        <v>29.62</v>
      </c>
      <c r="F245" s="10" t="n">
        <v>79.0</v>
      </c>
      <c r="G245" s="6" t="n">
        <v>79.0</v>
      </c>
      <c r="H245" s="5" t="n">
        <v>9134655.0</v>
      </c>
      <c r="I245" s="3" t="s">
        <v>44</v>
      </c>
      <c r="J245" s="11" t="s">
        <v>517</v>
      </c>
      <c r="K245" s="17" t="n">
        <v>9.182200000000002</v>
      </c>
      <c r="L245" s="17" t="n">
        <v>9.182200000000002</v>
      </c>
      <c r="M245" s="3" t="s">
        <v>20</v>
      </c>
      <c r="N245" s="3" t="s">
        <v>62</v>
      </c>
      <c r="O245" s="3" t="s">
        <v>63</v>
      </c>
      <c r="P245" s="12" t="s">
        <v>1196</v>
      </c>
    </row>
    <row r="246" spans="1:16" ht="24.75">
      <c r="A246" s="9" t="s">
        <v>839</v>
      </c>
      <c r="B246" s="3" t="s">
        <v>840</v>
      </c>
      <c r="C246" s="5" t="n">
        <v>2.0</v>
      </c>
      <c r="D246" s="6" t="n">
        <v>27.65</v>
      </c>
      <c r="E246" s="6" t="n">
        <v>55.3</v>
      </c>
      <c r="F246" s="10" t="n">
        <v>79.0</v>
      </c>
      <c r="G246" s="6" t="n">
        <v>158.0</v>
      </c>
      <c r="H246" s="5" t="n">
        <v>1.0487547E7</v>
      </c>
      <c r="I246" s="3" t="s">
        <v>71</v>
      </c>
      <c r="J246" s="11" t="s">
        <v>76</v>
      </c>
      <c r="K246" s="17" t="n">
        <v>8.5715</v>
      </c>
      <c r="L246" s="17" t="n">
        <v>17.143</v>
      </c>
      <c r="M246" s="3" t="s">
        <v>20</v>
      </c>
      <c r="N246" s="3" t="s">
        <v>67</v>
      </c>
      <c r="O246" s="3" t="s">
        <v>68</v>
      </c>
      <c r="P246" s="12" t="s">
        <v>1196</v>
      </c>
    </row>
    <row r="247" spans="1:16">
      <c r="A247" s="9" t="s">
        <v>841</v>
      </c>
      <c r="B247" s="3" t="s">
        <v>840</v>
      </c>
      <c r="C247" s="5" t="n">
        <v>2.0</v>
      </c>
      <c r="D247" s="6" t="n">
        <v>27.65</v>
      </c>
      <c r="E247" s="6" t="n">
        <v>55.3</v>
      </c>
      <c r="F247" s="10" t="n">
        <v>79.0</v>
      </c>
      <c r="G247" s="6" t="n">
        <v>158.0</v>
      </c>
      <c r="H247" s="5" t="n">
        <v>1.0487547E7</v>
      </c>
      <c r="I247" s="3" t="s">
        <v>71</v>
      </c>
      <c r="J247" s="11" t="s">
        <v>72</v>
      </c>
      <c r="K247" s="17" t="n">
        <v>8.5715</v>
      </c>
      <c r="L247" s="17" t="n">
        <v>17.143</v>
      </c>
      <c r="M247" s="3" t="s">
        <v>20</v>
      </c>
      <c r="N247" s="3" t="s">
        <v>67</v>
      </c>
      <c r="O247" s="3" t="s">
        <v>68</v>
      </c>
      <c r="P247" s="12" t="s">
        <v>1196</v>
      </c>
    </row>
    <row r="248" spans="1:16" ht="24.75">
      <c r="A248" s="9" t="s">
        <v>842</v>
      </c>
      <c r="B248" s="3" t="s">
        <v>843</v>
      </c>
      <c r="C248" s="5" t="n">
        <v>1.0</v>
      </c>
      <c r="D248" s="6" t="n">
        <v>26.18</v>
      </c>
      <c r="E248" s="6" t="n">
        <v>26.18</v>
      </c>
      <c r="F248" s="10" t="n">
        <v>69.0</v>
      </c>
      <c r="G248" s="6" t="n">
        <v>69.0</v>
      </c>
      <c r="H248" s="5" t="s">
        <v>844</v>
      </c>
      <c r="I248" s="3" t="s">
        <v>208</v>
      </c>
      <c r="J248" s="11" t="s">
        <v>76</v>
      </c>
      <c r="K248" s="17" t="n">
        <v>8.1158</v>
      </c>
      <c r="L248" s="17" t="n">
        <v>8.1158</v>
      </c>
      <c r="M248" s="3" t="s">
        <v>20</v>
      </c>
      <c r="N248" s="3" t="s">
        <v>95</v>
      </c>
      <c r="O248" s="3" t="s">
        <v>96</v>
      </c>
      <c r="P248" s="12" t="s">
        <v>1196</v>
      </c>
    </row>
    <row r="249" spans="1:16">
      <c r="A249" s="9" t="s">
        <v>845</v>
      </c>
      <c r="B249" s="3" t="s">
        <v>846</v>
      </c>
      <c r="C249" s="5" t="n">
        <v>1.0</v>
      </c>
      <c r="D249" s="6" t="n">
        <v>25.5</v>
      </c>
      <c r="E249" s="6" t="n">
        <v>25.5</v>
      </c>
      <c r="F249" s="10" t="n">
        <v>54.0</v>
      </c>
      <c r="G249" s="6" t="n">
        <v>54.0</v>
      </c>
      <c r="H249" s="5" t="s">
        <v>847</v>
      </c>
      <c r="I249" s="3" t="s">
        <v>1196</v>
      </c>
      <c r="J249" s="11" t="s">
        <v>467</v>
      </c>
      <c r="K249" s="17" t="n">
        <v>7.904999999999999</v>
      </c>
      <c r="L249" s="17" t="n">
        <v>7.904999999999999</v>
      </c>
      <c r="M249" s="3" t="s">
        <v>20</v>
      </c>
      <c r="N249" s="3" t="s">
        <v>218</v>
      </c>
      <c r="O249" s="3" t="s">
        <v>188</v>
      </c>
      <c r="P249" s="12" t="s">
        <v>1196</v>
      </c>
    </row>
    <row r="250" spans="1:16">
      <c r="A250" s="9" t="s">
        <v>848</v>
      </c>
      <c r="B250" s="3" t="s">
        <v>846</v>
      </c>
      <c r="C250" s="5" t="n">
        <v>1.0</v>
      </c>
      <c r="D250" s="6" t="n">
        <v>25.5</v>
      </c>
      <c r="E250" s="6" t="n">
        <v>25.5</v>
      </c>
      <c r="F250" s="10" t="n">
        <v>54.0</v>
      </c>
      <c r="G250" s="6" t="n">
        <v>54.0</v>
      </c>
      <c r="H250" s="5" t="s">
        <v>847</v>
      </c>
      <c r="I250" s="3" t="s">
        <v>1196</v>
      </c>
      <c r="J250" s="11" t="s">
        <v>278</v>
      </c>
      <c r="K250" s="17" t="n">
        <v>7.904999999999999</v>
      </c>
      <c r="L250" s="17" t="n">
        <v>7.904999999999999</v>
      </c>
      <c r="M250" s="3" t="s">
        <v>20</v>
      </c>
      <c r="N250" s="3" t="s">
        <v>218</v>
      </c>
      <c r="O250" s="3" t="s">
        <v>188</v>
      </c>
      <c r="P250" s="12" t="s">
        <v>1196</v>
      </c>
    </row>
    <row r="251" spans="1:16">
      <c r="A251" s="9" t="s">
        <v>849</v>
      </c>
      <c r="B251" s="3" t="s">
        <v>846</v>
      </c>
      <c r="C251" s="5" t="n">
        <v>1.0</v>
      </c>
      <c r="D251" s="6" t="n">
        <v>25.5</v>
      </c>
      <c r="E251" s="6" t="n">
        <v>25.5</v>
      </c>
      <c r="F251" s="10" t="n">
        <v>54.0</v>
      </c>
      <c r="G251" s="6" t="n">
        <v>54.0</v>
      </c>
      <c r="H251" s="5" t="s">
        <v>847</v>
      </c>
      <c r="I251" s="3" t="s">
        <v>1196</v>
      </c>
      <c r="J251" s="11" t="s">
        <v>850</v>
      </c>
      <c r="K251" s="17" t="n">
        <v>7.904999999999999</v>
      </c>
      <c r="L251" s="17" t="n">
        <v>7.904999999999999</v>
      </c>
      <c r="M251" s="3" t="s">
        <v>20</v>
      </c>
      <c r="N251" s="3" t="s">
        <v>218</v>
      </c>
      <c r="O251" s="3" t="s">
        <v>188</v>
      </c>
      <c r="P251" s="12" t="s">
        <v>1196</v>
      </c>
    </row>
    <row r="252" spans="1:16" ht="24.75">
      <c r="A252" s="9" t="s">
        <v>851</v>
      </c>
      <c r="B252" s="3" t="s">
        <v>852</v>
      </c>
      <c r="C252" s="5" t="n">
        <v>1.0</v>
      </c>
      <c r="D252" s="6" t="n">
        <v>24.5</v>
      </c>
      <c r="E252" s="6" t="n">
        <v>24.5</v>
      </c>
      <c r="F252" s="10" t="n">
        <v>52.0</v>
      </c>
      <c r="G252" s="6" t="n">
        <v>52.0</v>
      </c>
      <c r="H252" s="5" t="s">
        <v>853</v>
      </c>
      <c r="I252" s="3" t="s">
        <v>1196</v>
      </c>
      <c r="J252" s="11" t="s">
        <v>1196</v>
      </c>
      <c r="K252" s="17" t="n">
        <v>7.595000000000001</v>
      </c>
      <c r="L252" s="17" t="n">
        <v>7.595000000000001</v>
      </c>
      <c r="M252" s="3" t="s">
        <v>20</v>
      </c>
      <c r="N252" s="3" t="s">
        <v>218</v>
      </c>
      <c r="O252" s="3" t="s">
        <v>188</v>
      </c>
      <c r="P252" s="12" t="s">
        <v>1196</v>
      </c>
    </row>
    <row r="253" spans="1:16" ht="24.75">
      <c r="A253" s="9" t="s">
        <v>854</v>
      </c>
      <c r="B253" s="3" t="s">
        <v>855</v>
      </c>
      <c r="C253" s="5" t="n">
        <v>1.0</v>
      </c>
      <c r="D253" s="6" t="n">
        <v>24.32</v>
      </c>
      <c r="E253" s="6" t="n">
        <v>24.32</v>
      </c>
      <c r="F253" s="10" t="n">
        <v>69.5</v>
      </c>
      <c r="G253" s="6" t="n">
        <v>69.5</v>
      </c>
      <c r="H253" s="5" t="s">
        <v>856</v>
      </c>
      <c r="I253" s="3" t="s">
        <v>141</v>
      </c>
      <c r="J253" s="11" t="s">
        <v>35</v>
      </c>
      <c r="K253" s="17" t="n">
        <v>7.5392</v>
      </c>
      <c r="L253" s="17" t="n">
        <v>7.5392</v>
      </c>
      <c r="M253" s="3" t="s">
        <v>20</v>
      </c>
      <c r="N253" s="3" t="s">
        <v>152</v>
      </c>
      <c r="O253" s="3" t="s">
        <v>153</v>
      </c>
      <c r="P253" s="12" t="s">
        <v>1196</v>
      </c>
    </row>
    <row r="254" spans="1:16" ht="24.75">
      <c r="A254" s="9" t="s">
        <v>857</v>
      </c>
      <c r="B254" s="3" t="s">
        <v>858</v>
      </c>
      <c r="C254" s="5" t="n">
        <v>1.0</v>
      </c>
      <c r="D254" s="6" t="n">
        <v>23.5</v>
      </c>
      <c r="E254" s="6" t="n">
        <v>23.5</v>
      </c>
      <c r="F254" s="10" t="n">
        <v>50.0</v>
      </c>
      <c r="G254" s="6" t="n">
        <v>50.0</v>
      </c>
      <c r="H254" s="5" t="s">
        <v>859</v>
      </c>
      <c r="I254" s="3" t="s">
        <v>216</v>
      </c>
      <c r="J254" s="11" t="s">
        <v>1196</v>
      </c>
      <c r="K254" s="17" t="n">
        <v>7.285</v>
      </c>
      <c r="L254" s="17" t="n">
        <v>7.285</v>
      </c>
      <c r="M254" s="3" t="s">
        <v>20</v>
      </c>
      <c r="N254" s="3" t="s">
        <v>218</v>
      </c>
      <c r="O254" s="3" t="s">
        <v>188</v>
      </c>
      <c r="P254" s="12" t="s">
        <v>1196</v>
      </c>
    </row>
    <row r="255" spans="1:16" ht="24.75">
      <c r="A255" s="9" t="s">
        <v>860</v>
      </c>
      <c r="B255" s="3" t="s">
        <v>861</v>
      </c>
      <c r="C255" s="5" t="n">
        <v>1.0</v>
      </c>
      <c r="D255" s="6" t="n">
        <v>23.5</v>
      </c>
      <c r="E255" s="6" t="n">
        <v>23.5</v>
      </c>
      <c r="F255" s="10" t="n">
        <v>50.0</v>
      </c>
      <c r="G255" s="6" t="n">
        <v>50.0</v>
      </c>
      <c r="H255" s="5" t="s">
        <v>862</v>
      </c>
      <c r="I255" s="3" t="s">
        <v>1196</v>
      </c>
      <c r="J255" s="11" t="s">
        <v>833</v>
      </c>
      <c r="K255" s="17" t="n">
        <v>7.285</v>
      </c>
      <c r="L255" s="17" t="n">
        <v>7.285</v>
      </c>
      <c r="M255" s="3" t="s">
        <v>20</v>
      </c>
      <c r="N255" s="3" t="s">
        <v>218</v>
      </c>
      <c r="O255" s="3" t="s">
        <v>188</v>
      </c>
      <c r="P255" s="12" t="s">
        <v>1196</v>
      </c>
    </row>
    <row r="256" spans="1:16" ht="24.75">
      <c r="A256" s="9" t="s">
        <v>863</v>
      </c>
      <c r="B256" s="3" t="s">
        <v>864</v>
      </c>
      <c r="C256" s="5" t="n">
        <v>2.0</v>
      </c>
      <c r="D256" s="6" t="n">
        <v>23.5</v>
      </c>
      <c r="E256" s="6" t="n">
        <v>47.0</v>
      </c>
      <c r="F256" s="10" t="n">
        <v>50.0</v>
      </c>
      <c r="G256" s="6" t="n">
        <v>100.0</v>
      </c>
      <c r="H256" s="5" t="s">
        <v>865</v>
      </c>
      <c r="I256" s="3" t="s">
        <v>66</v>
      </c>
      <c r="J256" s="11" t="s">
        <v>1196</v>
      </c>
      <c r="K256" s="17" t="n">
        <v>7.285</v>
      </c>
      <c r="L256" s="17" t="n">
        <v>14.57</v>
      </c>
      <c r="M256" s="3" t="s">
        <v>20</v>
      </c>
      <c r="N256" s="3" t="s">
        <v>218</v>
      </c>
      <c r="O256" s="3" t="s">
        <v>188</v>
      </c>
      <c r="P256" s="12" t="s">
        <v>1196</v>
      </c>
    </row>
    <row r="257" spans="1:16" ht="24.75">
      <c r="A257" s="9" t="s">
        <v>866</v>
      </c>
      <c r="B257" s="3" t="s">
        <v>864</v>
      </c>
      <c r="C257" s="5" t="n">
        <v>1.0</v>
      </c>
      <c r="D257" s="6" t="n">
        <v>23.5</v>
      </c>
      <c r="E257" s="6" t="n">
        <v>23.5</v>
      </c>
      <c r="F257" s="10" t="n">
        <v>50.0</v>
      </c>
      <c r="G257" s="6" t="n">
        <v>50.0</v>
      </c>
      <c r="H257" s="5" t="s">
        <v>865</v>
      </c>
      <c r="I257" s="3" t="s">
        <v>66</v>
      </c>
      <c r="J257" s="11" t="s">
        <v>1196</v>
      </c>
      <c r="K257" s="17" t="n">
        <v>7.285</v>
      </c>
      <c r="L257" s="17" t="n">
        <v>7.285</v>
      </c>
      <c r="M257" s="3" t="s">
        <v>20</v>
      </c>
      <c r="N257" s="3" t="s">
        <v>218</v>
      </c>
      <c r="O257" s="3" t="s">
        <v>188</v>
      </c>
      <c r="P257" s="12" t="s">
        <v>1196</v>
      </c>
    </row>
    <row r="258" spans="1:16" ht="24.75">
      <c r="A258" s="9" t="s">
        <v>867</v>
      </c>
      <c r="B258" s="3" t="s">
        <v>868</v>
      </c>
      <c r="C258" s="5" t="n">
        <v>1.0</v>
      </c>
      <c r="D258" s="6" t="n">
        <v>23.5</v>
      </c>
      <c r="E258" s="6" t="n">
        <v>23.5</v>
      </c>
      <c r="F258" s="10" t="n">
        <v>59.25</v>
      </c>
      <c r="G258" s="6" t="n">
        <v>59.25</v>
      </c>
      <c r="H258" s="5" t="s">
        <v>869</v>
      </c>
      <c r="I258" s="3" t="s">
        <v>242</v>
      </c>
      <c r="J258" s="11" t="s">
        <v>57</v>
      </c>
      <c r="K258" s="17" t="n">
        <v>7.285</v>
      </c>
      <c r="L258" s="17" t="n">
        <v>7.285</v>
      </c>
      <c r="M258" s="3" t="s">
        <v>20</v>
      </c>
      <c r="N258" s="3" t="s">
        <v>283</v>
      </c>
      <c r="O258" s="3" t="s">
        <v>264</v>
      </c>
      <c r="P258" s="12" t="s">
        <v>1196</v>
      </c>
    </row>
    <row r="259" spans="1:16" ht="24.75">
      <c r="A259" s="9" t="s">
        <v>870</v>
      </c>
      <c r="B259" s="3" t="s">
        <v>871</v>
      </c>
      <c r="C259" s="5" t="n">
        <v>1.0</v>
      </c>
      <c r="D259" s="6" t="n">
        <v>23.0</v>
      </c>
      <c r="E259" s="6" t="n">
        <v>23.0</v>
      </c>
      <c r="F259" s="10" t="n">
        <v>48.0</v>
      </c>
      <c r="G259" s="6" t="n">
        <v>48.0</v>
      </c>
      <c r="H259" s="5" t="s">
        <v>872</v>
      </c>
      <c r="I259" s="3" t="s">
        <v>208</v>
      </c>
      <c r="J259" s="11" t="s">
        <v>1196</v>
      </c>
      <c r="K259" s="17" t="n">
        <v>7.13</v>
      </c>
      <c r="L259" s="17" t="n">
        <v>7.13</v>
      </c>
      <c r="M259" s="3" t="s">
        <v>20</v>
      </c>
      <c r="N259" s="3" t="s">
        <v>218</v>
      </c>
      <c r="O259" s="3" t="s">
        <v>188</v>
      </c>
      <c r="P259" s="12" t="s">
        <v>1196</v>
      </c>
    </row>
    <row r="260" spans="1:16" ht="24.75">
      <c r="A260" s="9" t="s">
        <v>873</v>
      </c>
      <c r="B260" s="3" t="s">
        <v>874</v>
      </c>
      <c r="C260" s="5" t="n">
        <v>1.0</v>
      </c>
      <c r="D260" s="6" t="n">
        <v>21.5</v>
      </c>
      <c r="E260" s="6" t="n">
        <v>21.5</v>
      </c>
      <c r="F260" s="10" t="n">
        <v>46.0</v>
      </c>
      <c r="G260" s="6" t="n">
        <v>46.0</v>
      </c>
      <c r="H260" s="5" t="s">
        <v>875</v>
      </c>
      <c r="I260" s="3" t="s">
        <v>746</v>
      </c>
      <c r="J260" s="11" t="s">
        <v>876</v>
      </c>
      <c r="K260" s="17" t="n">
        <v>6.665</v>
      </c>
      <c r="L260" s="17" t="n">
        <v>6.665</v>
      </c>
      <c r="M260" s="3" t="s">
        <v>20</v>
      </c>
      <c r="N260" s="3" t="s">
        <v>204</v>
      </c>
      <c r="O260" s="3" t="s">
        <v>188</v>
      </c>
      <c r="P260" s="12" t="s">
        <v>1196</v>
      </c>
    </row>
    <row r="261" spans="1:16" ht="24.75">
      <c r="A261" s="9" t="s">
        <v>877</v>
      </c>
      <c r="B261" s="3" t="s">
        <v>878</v>
      </c>
      <c r="C261" s="5" t="n">
        <v>1.0</v>
      </c>
      <c r="D261" s="6" t="n">
        <v>21.5</v>
      </c>
      <c r="E261" s="6" t="n">
        <v>21.5</v>
      </c>
      <c r="F261" s="10" t="n">
        <v>46.0</v>
      </c>
      <c r="G261" s="6" t="n">
        <v>46.0</v>
      </c>
      <c r="H261" s="5" t="s">
        <v>879</v>
      </c>
      <c r="I261" s="3" t="s">
        <v>402</v>
      </c>
      <c r="J261" s="11" t="s">
        <v>721</v>
      </c>
      <c r="K261" s="17" t="n">
        <v>6.665</v>
      </c>
      <c r="L261" s="17" t="n">
        <v>6.665</v>
      </c>
      <c r="M261" s="3" t="s">
        <v>20</v>
      </c>
      <c r="N261" s="3" t="s">
        <v>204</v>
      </c>
      <c r="O261" s="3" t="s">
        <v>188</v>
      </c>
      <c r="P261" s="12" t="s">
        <v>1196</v>
      </c>
    </row>
    <row r="262" spans="1:16" ht="24.75">
      <c r="A262" s="9" t="s">
        <v>880</v>
      </c>
      <c r="B262" s="3" t="s">
        <v>881</v>
      </c>
      <c r="C262" s="5" t="n">
        <v>1.0</v>
      </c>
      <c r="D262" s="6" t="n">
        <v>21.5</v>
      </c>
      <c r="E262" s="6" t="n">
        <v>21.5</v>
      </c>
      <c r="F262" s="10" t="n">
        <v>46.0</v>
      </c>
      <c r="G262" s="6" t="n">
        <v>46.0</v>
      </c>
      <c r="H262" s="5" t="s">
        <v>875</v>
      </c>
      <c r="I262" s="3" t="s">
        <v>717</v>
      </c>
      <c r="J262" s="11" t="s">
        <v>876</v>
      </c>
      <c r="K262" s="17" t="n">
        <v>6.665</v>
      </c>
      <c r="L262" s="17" t="n">
        <v>6.665</v>
      </c>
      <c r="M262" s="3" t="s">
        <v>20</v>
      </c>
      <c r="N262" s="3" t="s">
        <v>204</v>
      </c>
      <c r="O262" s="3" t="s">
        <v>188</v>
      </c>
      <c r="P262" s="12" t="s">
        <v>1196</v>
      </c>
    </row>
    <row r="263" spans="1:16" ht="24.75">
      <c r="A263" s="9" t="s">
        <v>882</v>
      </c>
      <c r="B263" s="3" t="s">
        <v>883</v>
      </c>
      <c r="C263" s="5" t="n">
        <v>1.0</v>
      </c>
      <c r="D263" s="6" t="n">
        <v>21.5</v>
      </c>
      <c r="E263" s="6" t="n">
        <v>21.5</v>
      </c>
      <c r="F263" s="10" t="n">
        <v>46.0</v>
      </c>
      <c r="G263" s="6" t="n">
        <v>46.0</v>
      </c>
      <c r="H263" s="5" t="s">
        <v>884</v>
      </c>
      <c r="I263" s="3" t="s">
        <v>885</v>
      </c>
      <c r="J263" s="11" t="s">
        <v>576</v>
      </c>
      <c r="K263" s="17" t="n">
        <v>6.665</v>
      </c>
      <c r="L263" s="17" t="n">
        <v>6.665</v>
      </c>
      <c r="M263" s="3" t="s">
        <v>20</v>
      </c>
      <c r="N263" s="3" t="s">
        <v>204</v>
      </c>
      <c r="O263" s="3" t="s">
        <v>188</v>
      </c>
      <c r="P263" s="12" t="s">
        <v>1196</v>
      </c>
    </row>
    <row r="264" spans="1:16" ht="24.75">
      <c r="A264" s="9" t="s">
        <v>886</v>
      </c>
      <c r="B264" s="3" t="s">
        <v>887</v>
      </c>
      <c r="C264" s="5" t="n">
        <v>1.0</v>
      </c>
      <c r="D264" s="6" t="n">
        <v>21.5</v>
      </c>
      <c r="E264" s="6" t="n">
        <v>21.5</v>
      </c>
      <c r="F264" s="10" t="n">
        <v>46.0</v>
      </c>
      <c r="G264" s="6" t="n">
        <v>46.0</v>
      </c>
      <c r="H264" s="5" t="s">
        <v>888</v>
      </c>
      <c r="I264" s="3" t="s">
        <v>71</v>
      </c>
      <c r="J264" s="11" t="s">
        <v>1196</v>
      </c>
      <c r="K264" s="17" t="n">
        <v>6.665</v>
      </c>
      <c r="L264" s="17" t="n">
        <v>6.665</v>
      </c>
      <c r="M264" s="3" t="s">
        <v>20</v>
      </c>
      <c r="N264" s="3" t="s">
        <v>204</v>
      </c>
      <c r="O264" s="3" t="s">
        <v>188</v>
      </c>
      <c r="P264" s="12" t="s">
        <v>1196</v>
      </c>
    </row>
    <row r="265" spans="1:16" ht="24.75">
      <c r="A265" s="9" t="s">
        <v>889</v>
      </c>
      <c r="B265" s="3" t="s">
        <v>890</v>
      </c>
      <c r="C265" s="5" t="n">
        <v>1.0</v>
      </c>
      <c r="D265" s="6" t="n">
        <v>21.5</v>
      </c>
      <c r="E265" s="6" t="n">
        <v>21.5</v>
      </c>
      <c r="F265" s="10" t="n">
        <v>46.0</v>
      </c>
      <c r="G265" s="6" t="n">
        <v>46.0</v>
      </c>
      <c r="H265" s="5" t="s">
        <v>891</v>
      </c>
      <c r="I265" s="3" t="s">
        <v>1196</v>
      </c>
      <c r="J265" s="11" t="s">
        <v>212</v>
      </c>
      <c r="K265" s="17" t="n">
        <v>6.665</v>
      </c>
      <c r="L265" s="17" t="n">
        <v>6.665</v>
      </c>
      <c r="M265" s="3" t="s">
        <v>20</v>
      </c>
      <c r="N265" s="3" t="s">
        <v>204</v>
      </c>
      <c r="O265" s="3" t="s">
        <v>188</v>
      </c>
      <c r="P265" s="12" t="s">
        <v>1196</v>
      </c>
    </row>
    <row r="266" spans="1:16" ht="24.75">
      <c r="A266" s="9" t="s">
        <v>892</v>
      </c>
      <c r="B266" s="3" t="s">
        <v>893</v>
      </c>
      <c r="C266" s="5" t="n">
        <v>1.0</v>
      </c>
      <c r="D266" s="6" t="n">
        <v>21.5</v>
      </c>
      <c r="E266" s="6" t="n">
        <v>21.5</v>
      </c>
      <c r="F266" s="10" t="n">
        <v>46.0</v>
      </c>
      <c r="G266" s="6" t="n">
        <v>46.0</v>
      </c>
      <c r="H266" s="5" t="s">
        <v>894</v>
      </c>
      <c r="I266" s="3" t="s">
        <v>44</v>
      </c>
      <c r="J266" s="11" t="s">
        <v>876</v>
      </c>
      <c r="K266" s="17" t="n">
        <v>6.665</v>
      </c>
      <c r="L266" s="17" t="n">
        <v>6.665</v>
      </c>
      <c r="M266" s="3" t="s">
        <v>20</v>
      </c>
      <c r="N266" s="3" t="s">
        <v>204</v>
      </c>
      <c r="O266" s="3" t="s">
        <v>188</v>
      </c>
      <c r="P266" s="12" t="s">
        <v>1196</v>
      </c>
    </row>
    <row r="267" spans="1:16" ht="24.75">
      <c r="A267" s="9" t="s">
        <v>895</v>
      </c>
      <c r="B267" s="3" t="s">
        <v>896</v>
      </c>
      <c r="C267" s="5" t="n">
        <v>1.0</v>
      </c>
      <c r="D267" s="6" t="n">
        <v>21.5</v>
      </c>
      <c r="E267" s="6" t="n">
        <v>21.5</v>
      </c>
      <c r="F267" s="10" t="n">
        <v>46.0</v>
      </c>
      <c r="G267" s="6" t="n">
        <v>46.0</v>
      </c>
      <c r="H267" s="5" t="s">
        <v>897</v>
      </c>
      <c r="I267" s="3" t="s">
        <v>898</v>
      </c>
      <c r="J267" s="11" t="s">
        <v>576</v>
      </c>
      <c r="K267" s="17" t="n">
        <v>6.665</v>
      </c>
      <c r="L267" s="17" t="n">
        <v>6.665</v>
      </c>
      <c r="M267" s="3" t="s">
        <v>20</v>
      </c>
      <c r="N267" s="3" t="s">
        <v>204</v>
      </c>
      <c r="O267" s="3" t="s">
        <v>188</v>
      </c>
      <c r="P267" s="12" t="s">
        <v>1196</v>
      </c>
    </row>
    <row r="268" spans="1:16" ht="24.75">
      <c r="A268" s="9" t="s">
        <v>899</v>
      </c>
      <c r="B268" s="3" t="s">
        <v>900</v>
      </c>
      <c r="C268" s="5" t="n">
        <v>1.0</v>
      </c>
      <c r="D268" s="6" t="n">
        <v>21.5</v>
      </c>
      <c r="E268" s="6" t="n">
        <v>21.5</v>
      </c>
      <c r="F268" s="10" t="n">
        <v>46.0</v>
      </c>
      <c r="G268" s="6" t="n">
        <v>46.0</v>
      </c>
      <c r="H268" s="5" t="s">
        <v>897</v>
      </c>
      <c r="I268" s="3" t="s">
        <v>898</v>
      </c>
      <c r="J268" s="11" t="s">
        <v>876</v>
      </c>
      <c r="K268" s="17" t="n">
        <v>6.665</v>
      </c>
      <c r="L268" s="17" t="n">
        <v>6.665</v>
      </c>
      <c r="M268" s="3" t="s">
        <v>20</v>
      </c>
      <c r="N268" s="3" t="s">
        <v>204</v>
      </c>
      <c r="O268" s="3" t="s">
        <v>188</v>
      </c>
      <c r="P268" s="12" t="s">
        <v>1196</v>
      </c>
    </row>
    <row r="269" spans="1:16" ht="24.75">
      <c r="A269" s="9" t="s">
        <v>901</v>
      </c>
      <c r="B269" s="3" t="s">
        <v>902</v>
      </c>
      <c r="C269" s="5" t="n">
        <v>1.0</v>
      </c>
      <c r="D269" s="6" t="n">
        <v>21.5</v>
      </c>
      <c r="E269" s="6" t="n">
        <v>21.5</v>
      </c>
      <c r="F269" s="10" t="n">
        <v>46.0</v>
      </c>
      <c r="G269" s="6" t="n">
        <v>46.0</v>
      </c>
      <c r="H269" s="5" t="s">
        <v>897</v>
      </c>
      <c r="I269" s="3" t="s">
        <v>898</v>
      </c>
      <c r="J269" s="11" t="s">
        <v>1196</v>
      </c>
      <c r="K269" s="17" t="n">
        <v>6.665</v>
      </c>
      <c r="L269" s="17" t="n">
        <v>6.665</v>
      </c>
      <c r="M269" s="3" t="s">
        <v>20</v>
      </c>
      <c r="N269" s="3" t="s">
        <v>204</v>
      </c>
      <c r="O269" s="3" t="s">
        <v>188</v>
      </c>
      <c r="P269" s="12" t="s">
        <v>1196</v>
      </c>
    </row>
    <row r="270" spans="1:16" ht="24.75">
      <c r="A270" s="9" t="s">
        <v>903</v>
      </c>
      <c r="B270" s="3" t="s">
        <v>883</v>
      </c>
      <c r="C270" s="5" t="n">
        <v>1.0</v>
      </c>
      <c r="D270" s="6" t="n">
        <v>21.5</v>
      </c>
      <c r="E270" s="6" t="n">
        <v>21.5</v>
      </c>
      <c r="F270" s="10" t="n">
        <v>46.0</v>
      </c>
      <c r="G270" s="6" t="n">
        <v>46.0</v>
      </c>
      <c r="H270" s="5" t="s">
        <v>884</v>
      </c>
      <c r="I270" s="3" t="s">
        <v>885</v>
      </c>
      <c r="J270" s="11" t="s">
        <v>721</v>
      </c>
      <c r="K270" s="17" t="n">
        <v>6.665</v>
      </c>
      <c r="L270" s="17" t="n">
        <v>6.665</v>
      </c>
      <c r="M270" s="3" t="s">
        <v>20</v>
      </c>
      <c r="N270" s="3" t="s">
        <v>204</v>
      </c>
      <c r="O270" s="3" t="s">
        <v>188</v>
      </c>
      <c r="P270" s="12" t="s">
        <v>1196</v>
      </c>
    </row>
    <row r="271" spans="1:16" ht="24.75">
      <c r="A271" s="9" t="s">
        <v>904</v>
      </c>
      <c r="B271" s="3" t="s">
        <v>883</v>
      </c>
      <c r="C271" s="5" t="n">
        <v>1.0</v>
      </c>
      <c r="D271" s="6" t="n">
        <v>21.5</v>
      </c>
      <c r="E271" s="6" t="n">
        <v>21.5</v>
      </c>
      <c r="F271" s="10" t="n">
        <v>46.0</v>
      </c>
      <c r="G271" s="6" t="n">
        <v>46.0</v>
      </c>
      <c r="H271" s="5" t="s">
        <v>884</v>
      </c>
      <c r="I271" s="3" t="s">
        <v>885</v>
      </c>
      <c r="J271" s="11" t="s">
        <v>876</v>
      </c>
      <c r="K271" s="17" t="n">
        <v>6.665</v>
      </c>
      <c r="L271" s="17" t="n">
        <v>6.665</v>
      </c>
      <c r="M271" s="3" t="s">
        <v>20</v>
      </c>
      <c r="N271" s="3" t="s">
        <v>204</v>
      </c>
      <c r="O271" s="3" t="s">
        <v>188</v>
      </c>
      <c r="P271" s="12" t="s">
        <v>1196</v>
      </c>
    </row>
    <row r="272" spans="1:16" ht="24.75">
      <c r="A272" s="9" t="s">
        <v>905</v>
      </c>
      <c r="B272" s="3" t="s">
        <v>883</v>
      </c>
      <c r="C272" s="5" t="n">
        <v>1.0</v>
      </c>
      <c r="D272" s="6" t="n">
        <v>21.5</v>
      </c>
      <c r="E272" s="6" t="n">
        <v>21.5</v>
      </c>
      <c r="F272" s="10" t="n">
        <v>46.0</v>
      </c>
      <c r="G272" s="6" t="n">
        <v>46.0</v>
      </c>
      <c r="H272" s="5" t="s">
        <v>884</v>
      </c>
      <c r="I272" s="3" t="s">
        <v>202</v>
      </c>
      <c r="J272" s="11" t="s">
        <v>721</v>
      </c>
      <c r="K272" s="17" t="n">
        <v>6.665</v>
      </c>
      <c r="L272" s="17" t="n">
        <v>6.665</v>
      </c>
      <c r="M272" s="3" t="s">
        <v>20</v>
      </c>
      <c r="N272" s="3" t="s">
        <v>204</v>
      </c>
      <c r="O272" s="3" t="s">
        <v>188</v>
      </c>
      <c r="P272" s="12" t="s">
        <v>1196</v>
      </c>
    </row>
    <row r="273" spans="1:16" ht="24.75">
      <c r="A273" s="9" t="s">
        <v>906</v>
      </c>
      <c r="B273" s="3" t="s">
        <v>907</v>
      </c>
      <c r="C273" s="5" t="n">
        <v>1.0</v>
      </c>
      <c r="D273" s="6" t="n">
        <v>21.5</v>
      </c>
      <c r="E273" s="6" t="n">
        <v>21.5</v>
      </c>
      <c r="F273" s="10" t="n">
        <v>46.0</v>
      </c>
      <c r="G273" s="6" t="n">
        <v>46.0</v>
      </c>
      <c r="H273" s="5" t="s">
        <v>908</v>
      </c>
      <c r="I273" s="3" t="s">
        <v>216</v>
      </c>
      <c r="J273" s="11" t="s">
        <v>677</v>
      </c>
      <c r="K273" s="17" t="n">
        <v>6.665</v>
      </c>
      <c r="L273" s="17" t="n">
        <v>6.665</v>
      </c>
      <c r="M273" s="3" t="s">
        <v>20</v>
      </c>
      <c r="N273" s="3" t="s">
        <v>218</v>
      </c>
      <c r="O273" s="3" t="s">
        <v>188</v>
      </c>
      <c r="P273" s="12" t="s">
        <v>1196</v>
      </c>
    </row>
    <row r="274" spans="1:16" ht="24.75">
      <c r="A274" s="9" t="s">
        <v>909</v>
      </c>
      <c r="B274" s="3" t="s">
        <v>910</v>
      </c>
      <c r="C274" s="5" t="n">
        <v>2.0</v>
      </c>
      <c r="D274" s="6" t="n">
        <v>21.5</v>
      </c>
      <c r="E274" s="6" t="n">
        <v>43.0</v>
      </c>
      <c r="F274" s="10" t="n">
        <v>46.0</v>
      </c>
      <c r="G274" s="6" t="n">
        <v>92.0</v>
      </c>
      <c r="H274" s="5" t="s">
        <v>911</v>
      </c>
      <c r="I274" s="3" t="s">
        <v>216</v>
      </c>
      <c r="J274" s="11" t="s">
        <v>1196</v>
      </c>
      <c r="K274" s="17" t="n">
        <v>6.665</v>
      </c>
      <c r="L274" s="17" t="n">
        <v>13.33</v>
      </c>
      <c r="M274" s="3" t="s">
        <v>20</v>
      </c>
      <c r="N274" s="3" t="s">
        <v>218</v>
      </c>
      <c r="O274" s="3" t="s">
        <v>188</v>
      </c>
      <c r="P274" s="12" t="s">
        <v>1196</v>
      </c>
    </row>
    <row r="275" spans="1:16" ht="24.75">
      <c r="A275" s="9" t="s">
        <v>912</v>
      </c>
      <c r="B275" s="3" t="s">
        <v>913</v>
      </c>
      <c r="C275" s="5" t="n">
        <v>1.0</v>
      </c>
      <c r="D275" s="6" t="n">
        <v>21.5</v>
      </c>
      <c r="E275" s="6" t="n">
        <v>21.5</v>
      </c>
      <c r="F275" s="10" t="n">
        <v>46.0</v>
      </c>
      <c r="G275" s="6" t="n">
        <v>46.0</v>
      </c>
      <c r="H275" s="5" t="s">
        <v>914</v>
      </c>
      <c r="I275" s="3" t="s">
        <v>216</v>
      </c>
      <c r="J275" s="11" t="s">
        <v>411</v>
      </c>
      <c r="K275" s="17" t="n">
        <v>6.665</v>
      </c>
      <c r="L275" s="17" t="n">
        <v>6.665</v>
      </c>
      <c r="M275" s="3" t="s">
        <v>20</v>
      </c>
      <c r="N275" s="3" t="s">
        <v>218</v>
      </c>
      <c r="O275" s="3" t="s">
        <v>188</v>
      </c>
      <c r="P275" s="12" t="s">
        <v>1196</v>
      </c>
    </row>
    <row r="276" spans="1:16" ht="24.75">
      <c r="A276" s="9" t="s">
        <v>915</v>
      </c>
      <c r="B276" s="3" t="s">
        <v>907</v>
      </c>
      <c r="C276" s="5" t="n">
        <v>1.0</v>
      </c>
      <c r="D276" s="6" t="n">
        <v>21.5</v>
      </c>
      <c r="E276" s="6" t="n">
        <v>21.5</v>
      </c>
      <c r="F276" s="10" t="n">
        <v>46.0</v>
      </c>
      <c r="G276" s="6" t="n">
        <v>46.0</v>
      </c>
      <c r="H276" s="5" t="s">
        <v>916</v>
      </c>
      <c r="I276" s="3" t="s">
        <v>917</v>
      </c>
      <c r="J276" s="11" t="s">
        <v>411</v>
      </c>
      <c r="K276" s="17" t="n">
        <v>6.665</v>
      </c>
      <c r="L276" s="17" t="n">
        <v>6.665</v>
      </c>
      <c r="M276" s="3" t="s">
        <v>20</v>
      </c>
      <c r="N276" s="3" t="s">
        <v>218</v>
      </c>
      <c r="O276" s="3" t="s">
        <v>188</v>
      </c>
      <c r="P276" s="12" t="s">
        <v>1196</v>
      </c>
    </row>
    <row r="277" spans="1:16" ht="24.75">
      <c r="A277" s="9" t="s">
        <v>918</v>
      </c>
      <c r="B277" s="3" t="s">
        <v>910</v>
      </c>
      <c r="C277" s="5" t="n">
        <v>1.0</v>
      </c>
      <c r="D277" s="6" t="n">
        <v>21.5</v>
      </c>
      <c r="E277" s="6" t="n">
        <v>21.5</v>
      </c>
      <c r="F277" s="10" t="n">
        <v>46.0</v>
      </c>
      <c r="G277" s="6" t="n">
        <v>46.0</v>
      </c>
      <c r="H277" s="5" t="s">
        <v>911</v>
      </c>
      <c r="I277" s="3" t="s">
        <v>202</v>
      </c>
      <c r="J277" s="11" t="s">
        <v>1196</v>
      </c>
      <c r="K277" s="17" t="n">
        <v>6.665</v>
      </c>
      <c r="L277" s="17" t="n">
        <v>6.665</v>
      </c>
      <c r="M277" s="3" t="s">
        <v>20</v>
      </c>
      <c r="N277" s="3" t="s">
        <v>218</v>
      </c>
      <c r="O277" s="3" t="s">
        <v>188</v>
      </c>
      <c r="P277" s="12" t="s">
        <v>1196</v>
      </c>
    </row>
    <row r="278" spans="1:16" ht="24.75">
      <c r="A278" s="9" t="s">
        <v>919</v>
      </c>
      <c r="B278" s="3" t="s">
        <v>920</v>
      </c>
      <c r="C278" s="5" t="n">
        <v>2.0</v>
      </c>
      <c r="D278" s="6" t="n">
        <v>21.5</v>
      </c>
      <c r="E278" s="6" t="n">
        <v>43.0</v>
      </c>
      <c r="F278" s="10" t="n">
        <v>46.0</v>
      </c>
      <c r="G278" s="6" t="n">
        <v>92.0</v>
      </c>
      <c r="H278" s="5" t="s">
        <v>921</v>
      </c>
      <c r="I278" s="3" t="s">
        <v>898</v>
      </c>
      <c r="J278" s="11" t="s">
        <v>922</v>
      </c>
      <c r="K278" s="17" t="n">
        <v>6.665</v>
      </c>
      <c r="L278" s="17" t="n">
        <v>13.33</v>
      </c>
      <c r="M278" s="3" t="s">
        <v>20</v>
      </c>
      <c r="N278" s="3" t="s">
        <v>218</v>
      </c>
      <c r="O278" s="3" t="s">
        <v>188</v>
      </c>
      <c r="P278" s="12" t="s">
        <v>1196</v>
      </c>
    </row>
    <row r="279" spans="1:16" ht="24.75">
      <c r="A279" s="9" t="s">
        <v>923</v>
      </c>
      <c r="B279" s="3" t="s">
        <v>924</v>
      </c>
      <c r="C279" s="5" t="n">
        <v>1.0</v>
      </c>
      <c r="D279" s="6" t="n">
        <v>21.5</v>
      </c>
      <c r="E279" s="6" t="n">
        <v>21.5</v>
      </c>
      <c r="F279" s="10" t="n">
        <v>46.0</v>
      </c>
      <c r="G279" s="6" t="n">
        <v>46.0</v>
      </c>
      <c r="H279" s="5" t="s">
        <v>925</v>
      </c>
      <c r="I279" s="3" t="s">
        <v>898</v>
      </c>
      <c r="J279" s="11" t="s">
        <v>926</v>
      </c>
      <c r="K279" s="17" t="n">
        <v>6.665</v>
      </c>
      <c r="L279" s="17" t="n">
        <v>6.665</v>
      </c>
      <c r="M279" s="3" t="s">
        <v>20</v>
      </c>
      <c r="N279" s="3" t="s">
        <v>204</v>
      </c>
      <c r="O279" s="3" t="s">
        <v>188</v>
      </c>
      <c r="P279" s="12" t="s">
        <v>1196</v>
      </c>
    </row>
    <row r="280" spans="1:16" ht="24.75">
      <c r="A280" s="9" t="s">
        <v>927</v>
      </c>
      <c r="B280" s="3" t="s">
        <v>928</v>
      </c>
      <c r="C280" s="5" t="n">
        <v>1.0</v>
      </c>
      <c r="D280" s="6" t="n">
        <v>21.5</v>
      </c>
      <c r="E280" s="6" t="n">
        <v>21.5</v>
      </c>
      <c r="F280" s="10" t="n">
        <v>46.0</v>
      </c>
      <c r="G280" s="6" t="n">
        <v>46.0</v>
      </c>
      <c r="H280" s="5" t="s">
        <v>925</v>
      </c>
      <c r="I280" s="3" t="s">
        <v>898</v>
      </c>
      <c r="J280" s="11" t="s">
        <v>929</v>
      </c>
      <c r="K280" s="17" t="n">
        <v>6.665</v>
      </c>
      <c r="L280" s="17" t="n">
        <v>6.665</v>
      </c>
      <c r="M280" s="3" t="s">
        <v>20</v>
      </c>
      <c r="N280" s="3" t="s">
        <v>204</v>
      </c>
      <c r="O280" s="3" t="s">
        <v>188</v>
      </c>
      <c r="P280" s="12" t="s">
        <v>1196</v>
      </c>
    </row>
    <row r="281" spans="1:16" ht="24.75">
      <c r="A281" s="9" t="s">
        <v>930</v>
      </c>
      <c r="B281" s="3" t="s">
        <v>907</v>
      </c>
      <c r="C281" s="5" t="n">
        <v>1.0</v>
      </c>
      <c r="D281" s="6" t="n">
        <v>21.5</v>
      </c>
      <c r="E281" s="6" t="n">
        <v>21.5</v>
      </c>
      <c r="F281" s="10" t="n">
        <v>46.0</v>
      </c>
      <c r="G281" s="6" t="n">
        <v>46.0</v>
      </c>
      <c r="H281" s="5" t="s">
        <v>931</v>
      </c>
      <c r="I281" s="3" t="s">
        <v>66</v>
      </c>
      <c r="J281" s="11" t="s">
        <v>467</v>
      </c>
      <c r="K281" s="17" t="n">
        <v>6.665</v>
      </c>
      <c r="L281" s="17" t="n">
        <v>6.665</v>
      </c>
      <c r="M281" s="3" t="s">
        <v>20</v>
      </c>
      <c r="N281" s="3" t="s">
        <v>218</v>
      </c>
      <c r="O281" s="3" t="s">
        <v>188</v>
      </c>
      <c r="P281" s="12" t="s">
        <v>1196</v>
      </c>
    </row>
    <row r="282" spans="1:16" ht="24.75">
      <c r="A282" s="9" t="s">
        <v>932</v>
      </c>
      <c r="B282" s="3" t="s">
        <v>907</v>
      </c>
      <c r="C282" s="5" t="n">
        <v>1.0</v>
      </c>
      <c r="D282" s="6" t="n">
        <v>21.5</v>
      </c>
      <c r="E282" s="6" t="n">
        <v>21.5</v>
      </c>
      <c r="F282" s="10" t="n">
        <v>46.0</v>
      </c>
      <c r="G282" s="6" t="n">
        <v>46.0</v>
      </c>
      <c r="H282" s="5" t="s">
        <v>931</v>
      </c>
      <c r="I282" s="3" t="s">
        <v>66</v>
      </c>
      <c r="J282" s="11" t="s">
        <v>850</v>
      </c>
      <c r="K282" s="17" t="n">
        <v>6.665</v>
      </c>
      <c r="L282" s="17" t="n">
        <v>6.665</v>
      </c>
      <c r="M282" s="3" t="s">
        <v>20</v>
      </c>
      <c r="N282" s="3" t="s">
        <v>218</v>
      </c>
      <c r="O282" s="3" t="s">
        <v>188</v>
      </c>
      <c r="P282" s="12" t="s">
        <v>1196</v>
      </c>
    </row>
    <row r="283" spans="1:16" ht="24.75">
      <c r="A283" s="9" t="s">
        <v>933</v>
      </c>
      <c r="B283" s="3" t="s">
        <v>910</v>
      </c>
      <c r="C283" s="5" t="n">
        <v>1.0</v>
      </c>
      <c r="D283" s="6" t="n">
        <v>21.5</v>
      </c>
      <c r="E283" s="6" t="n">
        <v>21.5</v>
      </c>
      <c r="F283" s="10" t="n">
        <v>46.0</v>
      </c>
      <c r="G283" s="6" t="n">
        <v>46.0</v>
      </c>
      <c r="H283" s="5" t="s">
        <v>934</v>
      </c>
      <c r="I283" s="3" t="s">
        <v>935</v>
      </c>
      <c r="J283" s="11" t="s">
        <v>1196</v>
      </c>
      <c r="K283" s="17" t="n">
        <v>6.665</v>
      </c>
      <c r="L283" s="17" t="n">
        <v>6.665</v>
      </c>
      <c r="M283" s="3" t="s">
        <v>20</v>
      </c>
      <c r="N283" s="3" t="s">
        <v>218</v>
      </c>
      <c r="O283" s="3" t="s">
        <v>188</v>
      </c>
      <c r="P283" s="12" t="s">
        <v>1196</v>
      </c>
    </row>
    <row r="284" spans="1:16" ht="24.75">
      <c r="A284" s="9" t="s">
        <v>936</v>
      </c>
      <c r="B284" s="3" t="s">
        <v>910</v>
      </c>
      <c r="C284" s="5" t="n">
        <v>1.0</v>
      </c>
      <c r="D284" s="6" t="n">
        <v>21.5</v>
      </c>
      <c r="E284" s="6" t="n">
        <v>21.5</v>
      </c>
      <c r="F284" s="10" t="n">
        <v>46.0</v>
      </c>
      <c r="G284" s="6" t="n">
        <v>46.0</v>
      </c>
      <c r="H284" s="5" t="s">
        <v>937</v>
      </c>
      <c r="I284" s="3" t="s">
        <v>208</v>
      </c>
      <c r="J284" s="11" t="s">
        <v>1196</v>
      </c>
      <c r="K284" s="17" t="n">
        <v>6.665</v>
      </c>
      <c r="L284" s="17" t="n">
        <v>6.665</v>
      </c>
      <c r="M284" s="3" t="s">
        <v>20</v>
      </c>
      <c r="N284" s="3" t="s">
        <v>218</v>
      </c>
      <c r="O284" s="3" t="s">
        <v>188</v>
      </c>
      <c r="P284" s="12" t="s">
        <v>1196</v>
      </c>
    </row>
    <row r="285" spans="1:16" ht="24.75">
      <c r="A285" s="9" t="s">
        <v>938</v>
      </c>
      <c r="B285" s="3" t="s">
        <v>939</v>
      </c>
      <c r="C285" s="5" t="n">
        <v>1.0</v>
      </c>
      <c r="D285" s="6" t="n">
        <v>21.5</v>
      </c>
      <c r="E285" s="6" t="n">
        <v>21.5</v>
      </c>
      <c r="F285" s="10" t="n">
        <v>46.0</v>
      </c>
      <c r="G285" s="6" t="n">
        <v>46.0</v>
      </c>
      <c r="H285" s="5" t="s">
        <v>925</v>
      </c>
      <c r="I285" s="3" t="s">
        <v>898</v>
      </c>
      <c r="J285" s="11" t="s">
        <v>209</v>
      </c>
      <c r="K285" s="17" t="n">
        <v>6.665</v>
      </c>
      <c r="L285" s="17" t="n">
        <v>6.665</v>
      </c>
      <c r="M285" s="3" t="s">
        <v>20</v>
      </c>
      <c r="N285" s="3" t="s">
        <v>204</v>
      </c>
      <c r="O285" s="3" t="s">
        <v>188</v>
      </c>
      <c r="P285" s="12" t="s">
        <v>1196</v>
      </c>
    </row>
    <row r="286" spans="1:16" ht="24.75">
      <c r="A286" s="9" t="s">
        <v>940</v>
      </c>
      <c r="B286" s="3" t="s">
        <v>941</v>
      </c>
      <c r="C286" s="5" t="n">
        <v>1.0</v>
      </c>
      <c r="D286" s="6" t="n">
        <v>21.5</v>
      </c>
      <c r="E286" s="6" t="n">
        <v>21.5</v>
      </c>
      <c r="F286" s="10" t="n">
        <v>46.0</v>
      </c>
      <c r="G286" s="6" t="n">
        <v>46.0</v>
      </c>
      <c r="H286" s="5" t="s">
        <v>201</v>
      </c>
      <c r="I286" s="3" t="s">
        <v>75</v>
      </c>
      <c r="J286" s="11" t="s">
        <v>212</v>
      </c>
      <c r="K286" s="17" t="n">
        <v>6.665</v>
      </c>
      <c r="L286" s="17" t="n">
        <v>6.665</v>
      </c>
      <c r="M286" s="3" t="s">
        <v>20</v>
      </c>
      <c r="N286" s="3" t="s">
        <v>204</v>
      </c>
      <c r="O286" s="3" t="s">
        <v>188</v>
      </c>
      <c r="P286" s="12" t="s">
        <v>1196</v>
      </c>
    </row>
    <row r="287" spans="1:16" ht="24.75">
      <c r="A287" s="9" t="s">
        <v>942</v>
      </c>
      <c r="B287" s="3" t="s">
        <v>943</v>
      </c>
      <c r="C287" s="5" t="n">
        <v>1.0</v>
      </c>
      <c r="D287" s="6" t="n">
        <v>21.5</v>
      </c>
      <c r="E287" s="6" t="n">
        <v>21.5</v>
      </c>
      <c r="F287" s="10" t="n">
        <v>46.0</v>
      </c>
      <c r="G287" s="6" t="n">
        <v>46.0</v>
      </c>
      <c r="H287" s="5" t="s">
        <v>897</v>
      </c>
      <c r="I287" s="3" t="s">
        <v>898</v>
      </c>
      <c r="J287" s="11" t="s">
        <v>1196</v>
      </c>
      <c r="K287" s="17" t="n">
        <v>6.665</v>
      </c>
      <c r="L287" s="17" t="n">
        <v>6.665</v>
      </c>
      <c r="M287" s="3" t="s">
        <v>20</v>
      </c>
      <c r="N287" s="3" t="s">
        <v>204</v>
      </c>
      <c r="O287" s="3" t="s">
        <v>188</v>
      </c>
      <c r="P287" s="12" t="s">
        <v>1196</v>
      </c>
    </row>
    <row r="288" spans="1:16" ht="24.75">
      <c r="A288" s="9" t="s">
        <v>944</v>
      </c>
      <c r="B288" s="3" t="s">
        <v>945</v>
      </c>
      <c r="C288" s="5" t="n">
        <v>1.0</v>
      </c>
      <c r="D288" s="6" t="n">
        <v>20.7</v>
      </c>
      <c r="E288" s="6" t="n">
        <v>20.7</v>
      </c>
      <c r="F288" s="10" t="n">
        <v>45.0</v>
      </c>
      <c r="G288" s="6" t="n">
        <v>45.0</v>
      </c>
      <c r="H288" s="5" t="n">
        <v>596693.0</v>
      </c>
      <c r="I288" s="3" t="s">
        <v>898</v>
      </c>
      <c r="J288" s="11" t="s">
        <v>35</v>
      </c>
      <c r="K288" s="17" t="n">
        <v>6.417</v>
      </c>
      <c r="L288" s="17" t="n">
        <v>6.417</v>
      </c>
      <c r="M288" s="3" t="s">
        <v>20</v>
      </c>
      <c r="N288" s="3" t="s">
        <v>352</v>
      </c>
      <c r="O288" s="3" t="s">
        <v>353</v>
      </c>
      <c r="P288" s="12" t="s">
        <v>1196</v>
      </c>
    </row>
    <row r="289" spans="1:16" ht="24.75">
      <c r="A289" s="9" t="s">
        <v>946</v>
      </c>
      <c r="B289" s="3" t="s">
        <v>947</v>
      </c>
      <c r="C289" s="5" t="n">
        <v>1.0</v>
      </c>
      <c r="D289" s="6" t="n">
        <v>18.0</v>
      </c>
      <c r="E289" s="6" t="n">
        <v>18.0</v>
      </c>
      <c r="F289" s="10" t="n">
        <v>44.25</v>
      </c>
      <c r="G289" s="6" t="n">
        <v>44.25</v>
      </c>
      <c r="H289" s="5" t="s">
        <v>948</v>
      </c>
      <c r="I289" s="3" t="s">
        <v>71</v>
      </c>
      <c r="J289" s="11" t="s">
        <v>81</v>
      </c>
      <c r="K289" s="17" t="n">
        <v>5.58</v>
      </c>
      <c r="L289" s="17" t="n">
        <v>5.58</v>
      </c>
      <c r="M289" s="3" t="s">
        <v>20</v>
      </c>
      <c r="N289" s="3" t="s">
        <v>283</v>
      </c>
      <c r="O289" s="3" t="s">
        <v>264</v>
      </c>
      <c r="P289" s="12" t="s">
        <v>1196</v>
      </c>
    </row>
    <row r="290" spans="1:16" ht="24.75">
      <c r="A290" s="9" t="s">
        <v>949</v>
      </c>
      <c r="B290" s="3" t="s">
        <v>950</v>
      </c>
      <c r="C290" s="5" t="n">
        <v>1.0</v>
      </c>
      <c r="D290" s="6" t="n">
        <v>17.6</v>
      </c>
      <c r="E290" s="6" t="n">
        <v>17.6</v>
      </c>
      <c r="F290" s="10" t="n">
        <v>44.25</v>
      </c>
      <c r="G290" s="6" t="n">
        <v>44.25</v>
      </c>
      <c r="H290" s="5" t="s">
        <v>951</v>
      </c>
      <c r="I290" s="3" t="s">
        <v>136</v>
      </c>
      <c r="J290" s="11" t="s">
        <v>76</v>
      </c>
      <c r="K290" s="17" t="n">
        <v>5.456</v>
      </c>
      <c r="L290" s="17" t="n">
        <v>5.456</v>
      </c>
      <c r="M290" s="3" t="s">
        <v>20</v>
      </c>
      <c r="N290" s="3" t="s">
        <v>491</v>
      </c>
      <c r="O290" s="3" t="s">
        <v>492</v>
      </c>
      <c r="P290" s="12" t="s">
        <v>1196</v>
      </c>
    </row>
    <row r="291" spans="1:16">
      <c r="A291" s="9" t="s">
        <v>952</v>
      </c>
      <c r="B291" s="3" t="s">
        <v>953</v>
      </c>
      <c r="C291" s="5" t="n">
        <v>1.0</v>
      </c>
      <c r="D291" s="6" t="n">
        <v>17.5</v>
      </c>
      <c r="E291" s="6" t="n">
        <v>17.5</v>
      </c>
      <c r="F291" s="10" t="n">
        <v>44.25</v>
      </c>
      <c r="G291" s="6" t="n">
        <v>44.25</v>
      </c>
      <c r="H291" s="5" t="s">
        <v>954</v>
      </c>
      <c r="I291" s="3" t="s">
        <v>242</v>
      </c>
      <c r="J291" s="11" t="s">
        <v>76</v>
      </c>
      <c r="K291" s="17" t="n">
        <v>5.425</v>
      </c>
      <c r="L291" s="17" t="n">
        <v>5.425</v>
      </c>
      <c r="M291" s="3" t="s">
        <v>20</v>
      </c>
      <c r="N291" s="3" t="s">
        <v>283</v>
      </c>
      <c r="O291" s="3" t="s">
        <v>264</v>
      </c>
      <c r="P291" s="12" t="s">
        <v>1196</v>
      </c>
    </row>
    <row r="292" spans="1:16">
      <c r="A292" s="9" t="s">
        <v>955</v>
      </c>
      <c r="B292" s="3" t="s">
        <v>956</v>
      </c>
      <c r="C292" s="5" t="n">
        <v>1.0</v>
      </c>
      <c r="D292" s="6" t="n">
        <v>17.5</v>
      </c>
      <c r="E292" s="6" t="n">
        <v>17.5</v>
      </c>
      <c r="F292" s="10" t="n">
        <v>51.75</v>
      </c>
      <c r="G292" s="6" t="n">
        <v>51.75</v>
      </c>
      <c r="H292" s="5" t="s">
        <v>957</v>
      </c>
      <c r="I292" s="3" t="s">
        <v>34</v>
      </c>
      <c r="J292" s="11" t="s">
        <v>1196</v>
      </c>
      <c r="K292" s="17" t="n">
        <v>5.425</v>
      </c>
      <c r="L292" s="17" t="n">
        <v>5.425</v>
      </c>
      <c r="M292" s="3" t="s">
        <v>20</v>
      </c>
      <c r="N292" s="3" t="s">
        <v>958</v>
      </c>
      <c r="O292" s="3" t="s">
        <v>244</v>
      </c>
      <c r="P292" s="12" t="s">
        <v>1196</v>
      </c>
    </row>
    <row r="293" spans="1:16" ht="24.75">
      <c r="A293" s="9" t="s">
        <v>959</v>
      </c>
      <c r="B293" s="3" t="s">
        <v>960</v>
      </c>
      <c r="C293" s="5" t="n">
        <v>1.0</v>
      </c>
      <c r="D293" s="6" t="n">
        <v>17.15</v>
      </c>
      <c r="E293" s="6" t="n">
        <v>17.15</v>
      </c>
      <c r="F293" s="10" t="n">
        <v>49.0</v>
      </c>
      <c r="G293" s="6" t="n">
        <v>49.0</v>
      </c>
      <c r="H293" s="5" t="s">
        <v>961</v>
      </c>
      <c r="I293" s="3" t="s">
        <v>1196</v>
      </c>
      <c r="J293" s="11" t="s">
        <v>273</v>
      </c>
      <c r="K293" s="17" t="n">
        <v>5.3165000000000004</v>
      </c>
      <c r="L293" s="17" t="n">
        <v>5.3165000000000004</v>
      </c>
      <c r="M293" s="3" t="s">
        <v>20</v>
      </c>
      <c r="N293" s="3" t="s">
        <v>85</v>
      </c>
      <c r="O293" s="3" t="s">
        <v>133</v>
      </c>
      <c r="P293" s="12" t="s">
        <v>1196</v>
      </c>
    </row>
    <row r="294" spans="1:16" ht="24.75">
      <c r="A294" s="9" t="s">
        <v>962</v>
      </c>
      <c r="B294" s="3" t="s">
        <v>963</v>
      </c>
      <c r="C294" s="5" t="n">
        <v>1.0</v>
      </c>
      <c r="D294" s="6" t="n">
        <v>16.0</v>
      </c>
      <c r="E294" s="6" t="n">
        <v>16.0</v>
      </c>
      <c r="F294" s="10" t="n">
        <v>39.99</v>
      </c>
      <c r="G294" s="6" t="n">
        <v>39.99</v>
      </c>
      <c r="H294" s="5" t="s">
        <v>964</v>
      </c>
      <c r="I294" s="3" t="s">
        <v>71</v>
      </c>
      <c r="J294" s="11" t="s">
        <v>45</v>
      </c>
      <c r="K294" s="17" t="n">
        <v>4.960000000000001</v>
      </c>
      <c r="L294" s="17" t="n">
        <v>4.960000000000001</v>
      </c>
      <c r="M294" s="3" t="s">
        <v>20</v>
      </c>
      <c r="N294" s="3" t="s">
        <v>283</v>
      </c>
      <c r="O294" s="3" t="s">
        <v>264</v>
      </c>
      <c r="P294" s="12" t="s">
        <v>1196</v>
      </c>
    </row>
    <row r="295" spans="1:16" ht="24.75">
      <c r="A295" s="9" t="s">
        <v>965</v>
      </c>
      <c r="B295" s="3" t="s">
        <v>966</v>
      </c>
      <c r="C295" s="5" t="n">
        <v>1.0</v>
      </c>
      <c r="D295" s="6" t="n">
        <v>16.0</v>
      </c>
      <c r="E295" s="6" t="n">
        <v>16.0</v>
      </c>
      <c r="F295" s="10" t="n">
        <v>39.99</v>
      </c>
      <c r="G295" s="6" t="n">
        <v>39.99</v>
      </c>
      <c r="H295" s="5" t="s">
        <v>967</v>
      </c>
      <c r="I295" s="3" t="s">
        <v>242</v>
      </c>
      <c r="J295" s="11" t="s">
        <v>45</v>
      </c>
      <c r="K295" s="17" t="n">
        <v>4.960000000000001</v>
      </c>
      <c r="L295" s="17" t="n">
        <v>4.960000000000001</v>
      </c>
      <c r="M295" s="3" t="s">
        <v>20</v>
      </c>
      <c r="N295" s="3" t="s">
        <v>283</v>
      </c>
      <c r="O295" s="3" t="s">
        <v>264</v>
      </c>
      <c r="P295" s="12" t="s">
        <v>1196</v>
      </c>
    </row>
    <row r="296" spans="1:16">
      <c r="A296" s="9" t="s">
        <v>968</v>
      </c>
      <c r="B296" s="3" t="s">
        <v>969</v>
      </c>
      <c r="C296" s="5" t="n">
        <v>1.0</v>
      </c>
      <c r="D296" s="6" t="n">
        <v>16.0</v>
      </c>
      <c r="E296" s="6" t="n">
        <v>16.0</v>
      </c>
      <c r="F296" s="10" t="n">
        <v>39.99</v>
      </c>
      <c r="G296" s="6" t="n">
        <v>39.99</v>
      </c>
      <c r="H296" s="5" t="s">
        <v>964</v>
      </c>
      <c r="I296" s="3" t="s">
        <v>71</v>
      </c>
      <c r="J296" s="11" t="s">
        <v>72</v>
      </c>
      <c r="K296" s="17" t="n">
        <v>4.960000000000001</v>
      </c>
      <c r="L296" s="17" t="n">
        <v>4.960000000000001</v>
      </c>
      <c r="M296" s="3" t="s">
        <v>20</v>
      </c>
      <c r="N296" s="3" t="s">
        <v>283</v>
      </c>
      <c r="O296" s="3" t="s">
        <v>264</v>
      </c>
      <c r="P296" s="12" t="s">
        <v>1196</v>
      </c>
    </row>
    <row r="297" spans="1:16" ht="24.75">
      <c r="A297" s="9" t="s">
        <v>970</v>
      </c>
      <c r="B297" s="3" t="s">
        <v>971</v>
      </c>
      <c r="C297" s="5" t="n">
        <v>1.0</v>
      </c>
      <c r="D297" s="6" t="n">
        <v>15.75</v>
      </c>
      <c r="E297" s="6" t="n">
        <v>15.75</v>
      </c>
      <c r="F297" s="10" t="n">
        <v>39.99</v>
      </c>
      <c r="G297" s="6" t="n">
        <v>39.99</v>
      </c>
      <c r="H297" s="5" t="s">
        <v>972</v>
      </c>
      <c r="I297" s="3" t="s">
        <v>105</v>
      </c>
      <c r="J297" s="11" t="s">
        <v>76</v>
      </c>
      <c r="K297" s="17" t="n">
        <v>4.8825</v>
      </c>
      <c r="L297" s="17" t="n">
        <v>4.8825</v>
      </c>
      <c r="M297" s="3" t="s">
        <v>20</v>
      </c>
      <c r="N297" s="3" t="s">
        <v>491</v>
      </c>
      <c r="O297" s="3" t="s">
        <v>492</v>
      </c>
      <c r="P297" s="12" t="s">
        <v>1196</v>
      </c>
    </row>
    <row r="298" spans="1:16" ht="24.75">
      <c r="A298" s="9" t="s">
        <v>973</v>
      </c>
      <c r="B298" s="3" t="s">
        <v>974</v>
      </c>
      <c r="C298" s="5" t="n">
        <v>1.0</v>
      </c>
      <c r="D298" s="6" t="n">
        <v>15.5</v>
      </c>
      <c r="E298" s="6" t="n">
        <v>15.5</v>
      </c>
      <c r="F298" s="10" t="n">
        <v>36.99</v>
      </c>
      <c r="G298" s="6" t="n">
        <v>36.99</v>
      </c>
      <c r="H298" s="5" t="s">
        <v>975</v>
      </c>
      <c r="I298" s="3" t="s">
        <v>208</v>
      </c>
      <c r="J298" s="11" t="s">
        <v>35</v>
      </c>
      <c r="K298" s="17" t="n">
        <v>4.805000000000001</v>
      </c>
      <c r="L298" s="17" t="n">
        <v>4.805000000000001</v>
      </c>
      <c r="M298" s="3" t="s">
        <v>20</v>
      </c>
      <c r="N298" s="3" t="s">
        <v>229</v>
      </c>
      <c r="O298" s="3" t="s">
        <v>287</v>
      </c>
      <c r="P298" s="12" t="s">
        <v>1196</v>
      </c>
    </row>
    <row r="299" spans="1:16" ht="24.75">
      <c r="A299" s="9" t="s">
        <v>976</v>
      </c>
      <c r="B299" s="3" t="s">
        <v>977</v>
      </c>
      <c r="C299" s="5" t="n">
        <v>1.0</v>
      </c>
      <c r="D299" s="6" t="n">
        <v>15.35</v>
      </c>
      <c r="E299" s="6" t="n">
        <v>15.35</v>
      </c>
      <c r="F299" s="10" t="n">
        <v>49.5</v>
      </c>
      <c r="G299" s="6" t="n">
        <v>49.5</v>
      </c>
      <c r="H299" s="5" t="n">
        <v>2.20522337001E11</v>
      </c>
      <c r="I299" s="3" t="s">
        <v>71</v>
      </c>
      <c r="J299" s="11" t="s">
        <v>81</v>
      </c>
      <c r="K299" s="17" t="n">
        <v>4.7585</v>
      </c>
      <c r="L299" s="17" t="n">
        <v>4.7585</v>
      </c>
      <c r="M299" s="3" t="s">
        <v>20</v>
      </c>
      <c r="N299" s="3" t="s">
        <v>588</v>
      </c>
      <c r="O299" s="3" t="s">
        <v>589</v>
      </c>
      <c r="P299" s="12" t="s">
        <v>1196</v>
      </c>
    </row>
    <row r="300" spans="1:16" ht="24.75">
      <c r="A300" s="9" t="s">
        <v>978</v>
      </c>
      <c r="B300" s="3" t="s">
        <v>979</v>
      </c>
      <c r="C300" s="5" t="n">
        <v>1.0</v>
      </c>
      <c r="D300" s="6" t="n">
        <v>15.25</v>
      </c>
      <c r="E300" s="6" t="n">
        <v>15.25</v>
      </c>
      <c r="F300" s="10" t="n">
        <v>36.99</v>
      </c>
      <c r="G300" s="6" t="n">
        <v>36.99</v>
      </c>
      <c r="H300" s="5" t="s">
        <v>980</v>
      </c>
      <c r="I300" s="3" t="s">
        <v>34</v>
      </c>
      <c r="J300" s="11" t="s">
        <v>81</v>
      </c>
      <c r="K300" s="17" t="n">
        <v>4.7275</v>
      </c>
      <c r="L300" s="17" t="n">
        <v>4.7275</v>
      </c>
      <c r="M300" s="3" t="s">
        <v>20</v>
      </c>
      <c r="N300" s="3" t="s">
        <v>290</v>
      </c>
      <c r="O300" s="3" t="s">
        <v>362</v>
      </c>
      <c r="P300" s="12" t="s">
        <v>1196</v>
      </c>
    </row>
    <row r="301" spans="1:16" ht="24.75">
      <c r="A301" s="9" t="s">
        <v>981</v>
      </c>
      <c r="B301" s="3" t="s">
        <v>982</v>
      </c>
      <c r="C301" s="5" t="n">
        <v>1.0</v>
      </c>
      <c r="D301" s="6" t="n">
        <v>15.0</v>
      </c>
      <c r="E301" s="6" t="n">
        <v>15.0</v>
      </c>
      <c r="F301" s="10" t="n">
        <v>39.99</v>
      </c>
      <c r="G301" s="6" t="n">
        <v>39.99</v>
      </c>
      <c r="H301" s="5" t="s">
        <v>983</v>
      </c>
      <c r="I301" s="3" t="s">
        <v>171</v>
      </c>
      <c r="J301" s="11" t="s">
        <v>35</v>
      </c>
      <c r="K301" s="17" t="n">
        <v>4.65</v>
      </c>
      <c r="L301" s="17" t="n">
        <v>4.65</v>
      </c>
      <c r="M301" s="3" t="s">
        <v>20</v>
      </c>
      <c r="N301" s="3" t="s">
        <v>283</v>
      </c>
      <c r="O301" s="3" t="s">
        <v>264</v>
      </c>
      <c r="P301" s="12" t="s">
        <v>1196</v>
      </c>
    </row>
    <row r="302" spans="1:16" ht="24.75">
      <c r="A302" s="9" t="s">
        <v>984</v>
      </c>
      <c r="B302" s="3" t="s">
        <v>985</v>
      </c>
      <c r="C302" s="5" t="n">
        <v>1.0</v>
      </c>
      <c r="D302" s="6" t="n">
        <v>14.95</v>
      </c>
      <c r="E302" s="6" t="n">
        <v>14.95</v>
      </c>
      <c r="F302" s="10" t="n">
        <v>36.75</v>
      </c>
      <c r="G302" s="6" t="n">
        <v>36.75</v>
      </c>
      <c r="H302" s="5" t="s">
        <v>986</v>
      </c>
      <c r="I302" s="3" t="s">
        <v>49</v>
      </c>
      <c r="J302" s="11" t="s">
        <v>35</v>
      </c>
      <c r="K302" s="17" t="n">
        <v>4.6345</v>
      </c>
      <c r="L302" s="17" t="n">
        <v>4.6345</v>
      </c>
      <c r="M302" s="3" t="s">
        <v>20</v>
      </c>
      <c r="N302" s="3" t="s">
        <v>283</v>
      </c>
      <c r="O302" s="3" t="s">
        <v>264</v>
      </c>
      <c r="P302" s="12" t="s">
        <v>1196</v>
      </c>
    </row>
    <row r="303" spans="1:16" ht="24.75">
      <c r="A303" s="9" t="s">
        <v>987</v>
      </c>
      <c r="B303" s="3" t="s">
        <v>988</v>
      </c>
      <c r="C303" s="5" t="n">
        <v>1.0</v>
      </c>
      <c r="D303" s="6" t="n">
        <v>14.75</v>
      </c>
      <c r="E303" s="6" t="n">
        <v>14.75</v>
      </c>
      <c r="F303" s="10" t="n">
        <v>36.75</v>
      </c>
      <c r="G303" s="6" t="n">
        <v>36.75</v>
      </c>
      <c r="H303" s="5" t="s">
        <v>989</v>
      </c>
      <c r="I303" s="3" t="s">
        <v>1196</v>
      </c>
      <c r="J303" s="11" t="s">
        <v>45</v>
      </c>
      <c r="K303" s="17" t="n">
        <v>4.572500000000001</v>
      </c>
      <c r="L303" s="17" t="n">
        <v>4.572500000000001</v>
      </c>
      <c r="M303" s="3" t="s">
        <v>20</v>
      </c>
      <c r="N303" s="3" t="s">
        <v>283</v>
      </c>
      <c r="O303" s="3" t="s">
        <v>264</v>
      </c>
      <c r="P303" s="12" t="s">
        <v>1196</v>
      </c>
    </row>
    <row r="304" spans="1:16" ht="24.75">
      <c r="A304" s="9" t="s">
        <v>990</v>
      </c>
      <c r="B304" s="3" t="s">
        <v>991</v>
      </c>
      <c r="C304" s="5" t="n">
        <v>1.0</v>
      </c>
      <c r="D304" s="6" t="n">
        <v>14.7</v>
      </c>
      <c r="E304" s="6" t="n">
        <v>14.7</v>
      </c>
      <c r="F304" s="10" t="n">
        <v>29.99</v>
      </c>
      <c r="G304" s="6" t="n">
        <v>29.99</v>
      </c>
      <c r="H304" s="5" t="s">
        <v>992</v>
      </c>
      <c r="I304" s="3" t="s">
        <v>71</v>
      </c>
      <c r="J304" s="11" t="s">
        <v>76</v>
      </c>
      <c r="K304" s="17" t="n">
        <v>4.557</v>
      </c>
      <c r="L304" s="17" t="n">
        <v>4.557</v>
      </c>
      <c r="M304" s="3" t="s">
        <v>20</v>
      </c>
      <c r="N304" s="3" t="s">
        <v>229</v>
      </c>
      <c r="O304" s="3" t="s">
        <v>230</v>
      </c>
      <c r="P304" s="12" t="s">
        <v>1196</v>
      </c>
    </row>
    <row r="305" spans="1:16" ht="24.75">
      <c r="A305" s="9" t="s">
        <v>993</v>
      </c>
      <c r="B305" s="3" t="s">
        <v>994</v>
      </c>
      <c r="C305" s="5" t="n">
        <v>1.0</v>
      </c>
      <c r="D305" s="6" t="n">
        <v>14.62</v>
      </c>
      <c r="E305" s="6" t="n">
        <v>14.62</v>
      </c>
      <c r="F305" s="10" t="n">
        <v>39.0</v>
      </c>
      <c r="G305" s="6" t="n">
        <v>39.0</v>
      </c>
      <c r="H305" s="5" t="s">
        <v>995</v>
      </c>
      <c r="I305" s="3" t="s">
        <v>996</v>
      </c>
      <c r="J305" s="11" t="s">
        <v>45</v>
      </c>
      <c r="K305" s="17" t="n">
        <v>4.5322000000000005</v>
      </c>
      <c r="L305" s="17" t="n">
        <v>4.5322000000000005</v>
      </c>
      <c r="M305" s="3" t="s">
        <v>20</v>
      </c>
      <c r="N305" s="3" t="s">
        <v>58</v>
      </c>
      <c r="O305" s="3" t="s">
        <v>52</v>
      </c>
      <c r="P305" s="12" t="s">
        <v>1196</v>
      </c>
    </row>
    <row r="306" spans="1:16" ht="24.75">
      <c r="A306" s="9" t="s">
        <v>997</v>
      </c>
      <c r="B306" s="3" t="s">
        <v>998</v>
      </c>
      <c r="C306" s="5" t="n">
        <v>1.0</v>
      </c>
      <c r="D306" s="6" t="n">
        <v>14.5</v>
      </c>
      <c r="E306" s="6" t="n">
        <v>14.5</v>
      </c>
      <c r="F306" s="10" t="n">
        <v>36.75</v>
      </c>
      <c r="G306" s="6" t="n">
        <v>36.75</v>
      </c>
      <c r="H306" s="5" t="s">
        <v>999</v>
      </c>
      <c r="I306" s="3" t="s">
        <v>681</v>
      </c>
      <c r="J306" s="11" t="s">
        <v>45</v>
      </c>
      <c r="K306" s="17" t="n">
        <v>4.495</v>
      </c>
      <c r="L306" s="17" t="n">
        <v>4.495</v>
      </c>
      <c r="M306" s="3" t="s">
        <v>20</v>
      </c>
      <c r="N306" s="3" t="s">
        <v>283</v>
      </c>
      <c r="O306" s="3" t="s">
        <v>264</v>
      </c>
      <c r="P306" s="12" t="s">
        <v>1196</v>
      </c>
    </row>
    <row r="307" spans="1:16" ht="24.75">
      <c r="A307" s="9" t="s">
        <v>1000</v>
      </c>
      <c r="B307" s="3" t="s">
        <v>1001</v>
      </c>
      <c r="C307" s="5" t="n">
        <v>2.0</v>
      </c>
      <c r="D307" s="6" t="n">
        <v>14.5</v>
      </c>
      <c r="E307" s="6" t="n">
        <v>29.0</v>
      </c>
      <c r="F307" s="10" t="n">
        <v>36.75</v>
      </c>
      <c r="G307" s="6" t="n">
        <v>73.5</v>
      </c>
      <c r="H307" s="5" t="s">
        <v>999</v>
      </c>
      <c r="I307" s="3" t="s">
        <v>681</v>
      </c>
      <c r="J307" s="11" t="s">
        <v>35</v>
      </c>
      <c r="K307" s="17" t="n">
        <v>4.495</v>
      </c>
      <c r="L307" s="17" t="n">
        <v>8.99</v>
      </c>
      <c r="M307" s="3" t="s">
        <v>20</v>
      </c>
      <c r="N307" s="3" t="s">
        <v>283</v>
      </c>
      <c r="O307" s="3" t="s">
        <v>264</v>
      </c>
      <c r="P307" s="12" t="s">
        <v>1196</v>
      </c>
    </row>
    <row r="308" spans="1:16" ht="24.75">
      <c r="A308" s="9" t="s">
        <v>1002</v>
      </c>
      <c r="B308" s="3" t="s">
        <v>1003</v>
      </c>
      <c r="C308" s="5" t="n">
        <v>2.0</v>
      </c>
      <c r="D308" s="6" t="n">
        <v>14.2</v>
      </c>
      <c r="E308" s="6" t="n">
        <v>28.4</v>
      </c>
      <c r="F308" s="10" t="n">
        <v>34.5</v>
      </c>
      <c r="G308" s="6" t="n">
        <v>69.0</v>
      </c>
      <c r="H308" s="5" t="n">
        <v>6.009786E7</v>
      </c>
      <c r="I308" s="3" t="s">
        <v>49</v>
      </c>
      <c r="J308" s="11" t="s">
        <v>529</v>
      </c>
      <c r="K308" s="17" t="n">
        <v>4.402</v>
      </c>
      <c r="L308" s="17" t="n">
        <v>8.804</v>
      </c>
      <c r="M308" s="3" t="s">
        <v>20</v>
      </c>
      <c r="N308" s="3" t="s">
        <v>412</v>
      </c>
      <c r="O308" s="3" t="s">
        <v>404</v>
      </c>
      <c r="P308" s="12" t="s">
        <v>1196</v>
      </c>
    </row>
    <row r="309" spans="1:16">
      <c r="A309" s="9" t="s">
        <v>1004</v>
      </c>
      <c r="B309" s="3" t="s">
        <v>1005</v>
      </c>
      <c r="C309" s="5" t="n">
        <v>1.0</v>
      </c>
      <c r="D309" s="6" t="n">
        <v>14.0</v>
      </c>
      <c r="E309" s="6" t="n">
        <v>14.0</v>
      </c>
      <c r="F309" s="10" t="n">
        <v>29.99</v>
      </c>
      <c r="G309" s="6" t="n">
        <v>29.99</v>
      </c>
      <c r="H309" s="5" t="s">
        <v>1006</v>
      </c>
      <c r="I309" s="3" t="s">
        <v>71</v>
      </c>
      <c r="J309" s="11" t="s">
        <v>45</v>
      </c>
      <c r="K309" s="17" t="n">
        <v>4.34</v>
      </c>
      <c r="L309" s="17" t="n">
        <v>4.34</v>
      </c>
      <c r="M309" s="3" t="s">
        <v>20</v>
      </c>
      <c r="N309" s="3" t="s">
        <v>290</v>
      </c>
      <c r="O309" s="3" t="s">
        <v>485</v>
      </c>
      <c r="P309" s="12" t="s">
        <v>1196</v>
      </c>
    </row>
    <row r="310" spans="1:16">
      <c r="A310" s="9" t="s">
        <v>1007</v>
      </c>
      <c r="B310" s="3" t="s">
        <v>1008</v>
      </c>
      <c r="C310" s="5" t="n">
        <v>1.0</v>
      </c>
      <c r="D310" s="6" t="n">
        <v>14.0</v>
      </c>
      <c r="E310" s="6" t="n">
        <v>14.0</v>
      </c>
      <c r="F310" s="10" t="n">
        <v>36.99</v>
      </c>
      <c r="G310" s="6" t="n">
        <v>36.99</v>
      </c>
      <c r="H310" s="5" t="s">
        <v>484</v>
      </c>
      <c r="I310" s="3" t="s">
        <v>94</v>
      </c>
      <c r="J310" s="11" t="s">
        <v>517</v>
      </c>
      <c r="K310" s="17" t="n">
        <v>4.34</v>
      </c>
      <c r="L310" s="17" t="n">
        <v>4.34</v>
      </c>
      <c r="M310" s="3" t="s">
        <v>20</v>
      </c>
      <c r="N310" s="3" t="s">
        <v>290</v>
      </c>
      <c r="O310" s="3" t="s">
        <v>485</v>
      </c>
      <c r="P310" s="12" t="s">
        <v>1196</v>
      </c>
    </row>
    <row r="311" spans="1:16" ht="24.75">
      <c r="A311" s="9" t="s">
        <v>1009</v>
      </c>
      <c r="B311" s="3" t="s">
        <v>1010</v>
      </c>
      <c r="C311" s="5" t="n">
        <v>1.0</v>
      </c>
      <c r="D311" s="6" t="n">
        <v>13.75</v>
      </c>
      <c r="E311" s="6" t="n">
        <v>13.75</v>
      </c>
      <c r="F311" s="10" t="n">
        <v>33.0</v>
      </c>
      <c r="G311" s="6" t="n">
        <v>33.0</v>
      </c>
      <c r="H311" s="5" t="s">
        <v>1011</v>
      </c>
      <c r="I311" s="3" t="s">
        <v>105</v>
      </c>
      <c r="J311" s="11" t="s">
        <v>81</v>
      </c>
      <c r="K311" s="17" t="n">
        <v>4.2625</v>
      </c>
      <c r="L311" s="17" t="n">
        <v>4.2625</v>
      </c>
      <c r="M311" s="3" t="s">
        <v>20</v>
      </c>
      <c r="N311" s="3" t="s">
        <v>491</v>
      </c>
      <c r="O311" s="3" t="s">
        <v>492</v>
      </c>
      <c r="P311" s="12" t="s">
        <v>1196</v>
      </c>
    </row>
    <row r="312" spans="1:16" ht="24.75">
      <c r="A312" s="9" t="s">
        <v>1012</v>
      </c>
      <c r="B312" s="3" t="s">
        <v>1013</v>
      </c>
      <c r="C312" s="5" t="n">
        <v>1.0</v>
      </c>
      <c r="D312" s="6" t="n">
        <v>13.5</v>
      </c>
      <c r="E312" s="6" t="n">
        <v>13.5</v>
      </c>
      <c r="F312" s="10" t="n">
        <v>34.5</v>
      </c>
      <c r="G312" s="6" t="n">
        <v>34.5</v>
      </c>
      <c r="H312" s="5" t="s">
        <v>1014</v>
      </c>
      <c r="I312" s="3" t="s">
        <v>607</v>
      </c>
      <c r="J312" s="11" t="s">
        <v>45</v>
      </c>
      <c r="K312" s="17" t="n">
        <v>4.1850000000000005</v>
      </c>
      <c r="L312" s="17" t="n">
        <v>4.1850000000000005</v>
      </c>
      <c r="M312" s="3" t="s">
        <v>20</v>
      </c>
      <c r="N312" s="3" t="s">
        <v>283</v>
      </c>
      <c r="O312" s="3" t="s">
        <v>264</v>
      </c>
      <c r="P312" s="12" t="s">
        <v>1196</v>
      </c>
    </row>
    <row r="313" spans="1:16" ht="24.75">
      <c r="A313" s="9" t="s">
        <v>1015</v>
      </c>
      <c r="B313" s="3" t="s">
        <v>1016</v>
      </c>
      <c r="C313" s="5" t="n">
        <v>1.0</v>
      </c>
      <c r="D313" s="6" t="n">
        <v>13.5</v>
      </c>
      <c r="E313" s="6" t="n">
        <v>13.5</v>
      </c>
      <c r="F313" s="10" t="n">
        <v>34.99</v>
      </c>
      <c r="G313" s="6" t="n">
        <v>34.99</v>
      </c>
      <c r="H313" s="5" t="s">
        <v>1017</v>
      </c>
      <c r="I313" s="3" t="s">
        <v>71</v>
      </c>
      <c r="J313" s="11" t="s">
        <v>35</v>
      </c>
      <c r="K313" s="17" t="n">
        <v>4.1850000000000005</v>
      </c>
      <c r="L313" s="17" t="n">
        <v>4.1850000000000005</v>
      </c>
      <c r="M313" s="3" t="s">
        <v>20</v>
      </c>
      <c r="N313" s="3" t="s">
        <v>283</v>
      </c>
      <c r="O313" s="3" t="s">
        <v>264</v>
      </c>
      <c r="P313" s="12" t="s">
        <v>1196</v>
      </c>
    </row>
    <row r="314" spans="1:16" ht="24.75">
      <c r="A314" s="9" t="s">
        <v>1018</v>
      </c>
      <c r="B314" s="3" t="s">
        <v>1019</v>
      </c>
      <c r="C314" s="5" t="n">
        <v>1.0</v>
      </c>
      <c r="D314" s="6" t="n">
        <v>13.5</v>
      </c>
      <c r="E314" s="6" t="n">
        <v>13.5</v>
      </c>
      <c r="F314" s="10" t="n">
        <v>29.98</v>
      </c>
      <c r="G314" s="6" t="n">
        <v>29.98</v>
      </c>
      <c r="H314" s="5" t="s">
        <v>1020</v>
      </c>
      <c r="I314" s="3" t="s">
        <v>335</v>
      </c>
      <c r="J314" s="11" t="s">
        <v>45</v>
      </c>
      <c r="K314" s="17" t="n">
        <v>4.1850000000000005</v>
      </c>
      <c r="L314" s="17" t="n">
        <v>4.1850000000000005</v>
      </c>
      <c r="M314" s="3" t="s">
        <v>20</v>
      </c>
      <c r="N314" s="3" t="s">
        <v>243</v>
      </c>
      <c r="O314" s="3" t="s">
        <v>244</v>
      </c>
      <c r="P314" s="12" t="s">
        <v>1196</v>
      </c>
    </row>
    <row r="315" spans="1:16">
      <c r="A315" s="9" t="s">
        <v>1021</v>
      </c>
      <c r="B315" s="3" t="s">
        <v>1022</v>
      </c>
      <c r="C315" s="5" t="n">
        <v>1.0</v>
      </c>
      <c r="D315" s="6" t="n">
        <v>13.5</v>
      </c>
      <c r="E315" s="6" t="n">
        <v>13.5</v>
      </c>
      <c r="F315" s="10" t="n">
        <v>34.5</v>
      </c>
      <c r="G315" s="6" t="n">
        <v>34.5</v>
      </c>
      <c r="H315" s="5" t="s">
        <v>1023</v>
      </c>
      <c r="I315" s="3" t="s">
        <v>1196</v>
      </c>
      <c r="J315" s="11" t="s">
        <v>35</v>
      </c>
      <c r="K315" s="17" t="n">
        <v>4.1850000000000005</v>
      </c>
      <c r="L315" s="17" t="n">
        <v>4.1850000000000005</v>
      </c>
      <c r="M315" s="3" t="s">
        <v>20</v>
      </c>
      <c r="N315" s="3" t="s">
        <v>283</v>
      </c>
      <c r="O315" s="3" t="s">
        <v>264</v>
      </c>
      <c r="P315" s="12" t="s">
        <v>1196</v>
      </c>
    </row>
    <row r="316" spans="1:16" ht="24.75">
      <c r="A316" s="9" t="s">
        <v>1024</v>
      </c>
      <c r="B316" s="3" t="s">
        <v>1025</v>
      </c>
      <c r="C316" s="5" t="n">
        <v>1.0</v>
      </c>
      <c r="D316" s="6" t="n">
        <v>13.25</v>
      </c>
      <c r="E316" s="6" t="n">
        <v>13.25</v>
      </c>
      <c r="F316" s="10" t="n">
        <v>33.0</v>
      </c>
      <c r="G316" s="6" t="n">
        <v>33.0</v>
      </c>
      <c r="H316" s="5" t="s">
        <v>1026</v>
      </c>
      <c r="I316" s="3" t="s">
        <v>66</v>
      </c>
      <c r="J316" s="11" t="s">
        <v>35</v>
      </c>
      <c r="K316" s="17" t="n">
        <v>4.1075</v>
      </c>
      <c r="L316" s="17" t="n">
        <v>4.1075</v>
      </c>
      <c r="M316" s="3" t="s">
        <v>20</v>
      </c>
      <c r="N316" s="3" t="s">
        <v>491</v>
      </c>
      <c r="O316" s="3" t="s">
        <v>492</v>
      </c>
      <c r="P316" s="12" t="s">
        <v>1196</v>
      </c>
    </row>
    <row r="317" spans="1:16" ht="24.75">
      <c r="A317" s="9" t="s">
        <v>1027</v>
      </c>
      <c r="B317" s="3" t="s">
        <v>1028</v>
      </c>
      <c r="C317" s="5" t="n">
        <v>1.0</v>
      </c>
      <c r="D317" s="6" t="n">
        <v>13.0</v>
      </c>
      <c r="E317" s="6" t="n">
        <v>13.0</v>
      </c>
      <c r="F317" s="10" t="n">
        <v>30.0</v>
      </c>
      <c r="G317" s="6" t="n">
        <v>30.0</v>
      </c>
      <c r="H317" s="5" t="s">
        <v>1029</v>
      </c>
      <c r="I317" s="3" t="s">
        <v>361</v>
      </c>
      <c r="J317" s="11" t="s">
        <v>45</v>
      </c>
      <c r="K317" s="17" t="n">
        <v>4.03</v>
      </c>
      <c r="L317" s="17" t="n">
        <v>4.03</v>
      </c>
      <c r="M317" s="3" t="s">
        <v>20</v>
      </c>
      <c r="N317" s="3" t="s">
        <v>290</v>
      </c>
      <c r="O317" s="3" t="s">
        <v>287</v>
      </c>
      <c r="P317" s="12" t="s">
        <v>1196</v>
      </c>
    </row>
    <row r="318" spans="1:16" ht="24.75">
      <c r="A318" s="9" t="s">
        <v>1030</v>
      </c>
      <c r="B318" s="3" t="s">
        <v>1031</v>
      </c>
      <c r="C318" s="5" t="n">
        <v>1.0</v>
      </c>
      <c r="D318" s="6" t="n">
        <v>13.0</v>
      </c>
      <c r="E318" s="6" t="n">
        <v>13.0</v>
      </c>
      <c r="F318" s="10" t="n">
        <v>34.99</v>
      </c>
      <c r="G318" s="6" t="n">
        <v>34.99</v>
      </c>
      <c r="H318" s="5" t="s">
        <v>1032</v>
      </c>
      <c r="I318" s="3" t="s">
        <v>242</v>
      </c>
      <c r="J318" s="11" t="s">
        <v>35</v>
      </c>
      <c r="K318" s="17" t="n">
        <v>4.03</v>
      </c>
      <c r="L318" s="17" t="n">
        <v>4.03</v>
      </c>
      <c r="M318" s="3" t="s">
        <v>20</v>
      </c>
      <c r="N318" s="3" t="s">
        <v>283</v>
      </c>
      <c r="O318" s="3" t="s">
        <v>264</v>
      </c>
      <c r="P318" s="12" t="s">
        <v>1196</v>
      </c>
    </row>
    <row r="319" spans="1:16" ht="24.75">
      <c r="A319" s="9" t="s">
        <v>1033</v>
      </c>
      <c r="B319" s="3" t="s">
        <v>1034</v>
      </c>
      <c r="C319" s="5" t="n">
        <v>1.0</v>
      </c>
      <c r="D319" s="6" t="n">
        <v>13.0</v>
      </c>
      <c r="E319" s="6" t="n">
        <v>13.0</v>
      </c>
      <c r="F319" s="10" t="n">
        <v>34.99</v>
      </c>
      <c r="G319" s="6" t="n">
        <v>34.99</v>
      </c>
      <c r="H319" s="5" t="s">
        <v>1035</v>
      </c>
      <c r="I319" s="3" t="s">
        <v>1036</v>
      </c>
      <c r="J319" s="11" t="s">
        <v>76</v>
      </c>
      <c r="K319" s="17" t="n">
        <v>4.03</v>
      </c>
      <c r="L319" s="17" t="n">
        <v>4.03</v>
      </c>
      <c r="M319" s="3" t="s">
        <v>20</v>
      </c>
      <c r="N319" s="3" t="s">
        <v>283</v>
      </c>
      <c r="O319" s="3" t="s">
        <v>264</v>
      </c>
      <c r="P319" s="12" t="s">
        <v>1196</v>
      </c>
    </row>
    <row r="320" spans="1:16" ht="24.75">
      <c r="A320" s="9" t="s">
        <v>1037</v>
      </c>
      <c r="B320" s="3" t="s">
        <v>1038</v>
      </c>
      <c r="C320" s="5" t="n">
        <v>1.0</v>
      </c>
      <c r="D320" s="6" t="n">
        <v>12.5</v>
      </c>
      <c r="E320" s="6" t="n">
        <v>12.5</v>
      </c>
      <c r="F320" s="10" t="n">
        <v>31.25</v>
      </c>
      <c r="G320" s="6" t="n">
        <v>31.25</v>
      </c>
      <c r="H320" s="5" t="s">
        <v>1039</v>
      </c>
      <c r="I320" s="3" t="s">
        <v>71</v>
      </c>
      <c r="J320" s="11" t="s">
        <v>328</v>
      </c>
      <c r="K320" s="17" t="n">
        <v>3.875</v>
      </c>
      <c r="L320" s="17" t="n">
        <v>3.875</v>
      </c>
      <c r="M320" s="3" t="s">
        <v>20</v>
      </c>
      <c r="N320" s="3" t="s">
        <v>193</v>
      </c>
      <c r="O320" s="3" t="s">
        <v>287</v>
      </c>
      <c r="P320" s="12" t="s">
        <v>1196</v>
      </c>
    </row>
    <row r="321" spans="1:16">
      <c r="A321" s="9" t="s">
        <v>1040</v>
      </c>
      <c r="B321" s="3" t="s">
        <v>1041</v>
      </c>
      <c r="C321" s="5" t="n">
        <v>1.0</v>
      </c>
      <c r="D321" s="6" t="n">
        <v>12.5</v>
      </c>
      <c r="E321" s="6" t="n">
        <v>12.5</v>
      </c>
      <c r="F321" s="10" t="n">
        <v>29.99</v>
      </c>
      <c r="G321" s="6" t="n">
        <v>29.99</v>
      </c>
      <c r="H321" s="5" t="s">
        <v>1042</v>
      </c>
      <c r="I321" s="3" t="s">
        <v>56</v>
      </c>
      <c r="J321" s="11" t="s">
        <v>76</v>
      </c>
      <c r="K321" s="17" t="n">
        <v>3.875</v>
      </c>
      <c r="L321" s="17" t="n">
        <v>3.875</v>
      </c>
      <c r="M321" s="3" t="s">
        <v>20</v>
      </c>
      <c r="N321" s="3" t="s">
        <v>229</v>
      </c>
      <c r="O321" s="3" t="s">
        <v>287</v>
      </c>
      <c r="P321" s="12" t="s">
        <v>1196</v>
      </c>
    </row>
    <row r="322" spans="1:16" ht="24.75">
      <c r="A322" s="9" t="s">
        <v>1043</v>
      </c>
      <c r="B322" s="3" t="s">
        <v>1041</v>
      </c>
      <c r="C322" s="5" t="n">
        <v>1.0</v>
      </c>
      <c r="D322" s="6" t="n">
        <v>12.5</v>
      </c>
      <c r="E322" s="6" t="n">
        <v>12.5</v>
      </c>
      <c r="F322" s="10" t="n">
        <v>29.99</v>
      </c>
      <c r="G322" s="6" t="n">
        <v>29.99</v>
      </c>
      <c r="H322" s="5" t="s">
        <v>1042</v>
      </c>
      <c r="I322" s="3" t="s">
        <v>56</v>
      </c>
      <c r="J322" s="11" t="s">
        <v>81</v>
      </c>
      <c r="K322" s="17" t="n">
        <v>3.875</v>
      </c>
      <c r="L322" s="17" t="n">
        <v>3.875</v>
      </c>
      <c r="M322" s="3" t="s">
        <v>20</v>
      </c>
      <c r="N322" s="3" t="s">
        <v>229</v>
      </c>
      <c r="O322" s="3" t="s">
        <v>287</v>
      </c>
      <c r="P322" s="12" t="s">
        <v>1196</v>
      </c>
    </row>
    <row r="323" spans="1:16" ht="24.75">
      <c r="A323" s="9" t="s">
        <v>1044</v>
      </c>
      <c r="B323" s="3" t="s">
        <v>1045</v>
      </c>
      <c r="C323" s="5" t="n">
        <v>1.0</v>
      </c>
      <c r="D323" s="6" t="n">
        <v>12.5</v>
      </c>
      <c r="E323" s="6" t="n">
        <v>12.5</v>
      </c>
      <c r="F323" s="10" t="n">
        <v>29.99</v>
      </c>
      <c r="G323" s="6" t="n">
        <v>29.99</v>
      </c>
      <c r="H323" s="5" t="s">
        <v>1046</v>
      </c>
      <c r="I323" s="3" t="s">
        <v>49</v>
      </c>
      <c r="J323" s="11" t="s">
        <v>81</v>
      </c>
      <c r="K323" s="17" t="n">
        <v>3.875</v>
      </c>
      <c r="L323" s="17" t="n">
        <v>3.875</v>
      </c>
      <c r="M323" s="3" t="s">
        <v>20</v>
      </c>
      <c r="N323" s="3" t="s">
        <v>290</v>
      </c>
      <c r="O323" s="3" t="s">
        <v>362</v>
      </c>
      <c r="P323" s="12" t="s">
        <v>1196</v>
      </c>
    </row>
    <row r="324" spans="1:16" ht="24.75">
      <c r="A324" s="9" t="s">
        <v>1047</v>
      </c>
      <c r="B324" s="3" t="s">
        <v>1048</v>
      </c>
      <c r="C324" s="5" t="n">
        <v>1.0</v>
      </c>
      <c r="D324" s="6" t="n">
        <v>12.5</v>
      </c>
      <c r="E324" s="6" t="n">
        <v>12.5</v>
      </c>
      <c r="F324" s="10" t="n">
        <v>29.99</v>
      </c>
      <c r="G324" s="6" t="n">
        <v>29.99</v>
      </c>
      <c r="H324" s="5" t="s">
        <v>1049</v>
      </c>
      <c r="I324" s="3" t="s">
        <v>1050</v>
      </c>
      <c r="J324" s="11" t="s">
        <v>35</v>
      </c>
      <c r="K324" s="17" t="n">
        <v>3.875</v>
      </c>
      <c r="L324" s="17" t="n">
        <v>3.875</v>
      </c>
      <c r="M324" s="3" t="s">
        <v>20</v>
      </c>
      <c r="N324" s="3" t="s">
        <v>229</v>
      </c>
      <c r="O324" s="3" t="s">
        <v>287</v>
      </c>
      <c r="P324" s="12" t="s">
        <v>1196</v>
      </c>
    </row>
    <row r="325" spans="1:16" ht="24.75">
      <c r="A325" s="9" t="s">
        <v>1051</v>
      </c>
      <c r="B325" s="3" t="s">
        <v>1052</v>
      </c>
      <c r="C325" s="5" t="n">
        <v>1.0</v>
      </c>
      <c r="D325" s="6" t="n">
        <v>12.5</v>
      </c>
      <c r="E325" s="6" t="n">
        <v>12.5</v>
      </c>
      <c r="F325" s="10" t="n">
        <v>36.75</v>
      </c>
      <c r="G325" s="6" t="n">
        <v>36.75</v>
      </c>
      <c r="H325" s="5" t="s">
        <v>1053</v>
      </c>
      <c r="I325" s="3" t="s">
        <v>136</v>
      </c>
      <c r="J325" s="11" t="s">
        <v>45</v>
      </c>
      <c r="K325" s="17" t="n">
        <v>3.875</v>
      </c>
      <c r="L325" s="17" t="n">
        <v>3.875</v>
      </c>
      <c r="M325" s="3" t="s">
        <v>20</v>
      </c>
      <c r="N325" s="3" t="s">
        <v>243</v>
      </c>
      <c r="O325" s="3" t="s">
        <v>244</v>
      </c>
      <c r="P325" s="12" t="s">
        <v>1196</v>
      </c>
    </row>
    <row r="326" spans="1:16" ht="24.75">
      <c r="A326" s="9" t="s">
        <v>1054</v>
      </c>
      <c r="B326" s="3" t="s">
        <v>1055</v>
      </c>
      <c r="C326" s="5" t="n">
        <v>1.0</v>
      </c>
      <c r="D326" s="6" t="n">
        <v>12.25</v>
      </c>
      <c r="E326" s="6" t="n">
        <v>12.25</v>
      </c>
      <c r="F326" s="10" t="n">
        <v>29.25</v>
      </c>
      <c r="G326" s="6" t="n">
        <v>29.25</v>
      </c>
      <c r="H326" s="5" t="s">
        <v>1056</v>
      </c>
      <c r="I326" s="3" t="s">
        <v>1196</v>
      </c>
      <c r="J326" s="11" t="s">
        <v>45</v>
      </c>
      <c r="K326" s="17" t="n">
        <v>3.7975000000000003</v>
      </c>
      <c r="L326" s="17" t="n">
        <v>3.7975000000000003</v>
      </c>
      <c r="M326" s="3" t="s">
        <v>20</v>
      </c>
      <c r="N326" s="3" t="s">
        <v>283</v>
      </c>
      <c r="O326" s="3" t="s">
        <v>264</v>
      </c>
      <c r="P326" s="12" t="s">
        <v>1196</v>
      </c>
    </row>
    <row r="327" spans="1:16" ht="24.75">
      <c r="A327" s="9" t="s">
        <v>1057</v>
      </c>
      <c r="B327" s="3" t="s">
        <v>1058</v>
      </c>
      <c r="C327" s="5" t="n">
        <v>1.0</v>
      </c>
      <c r="D327" s="6" t="n">
        <v>12.22</v>
      </c>
      <c r="E327" s="6" t="n">
        <v>12.22</v>
      </c>
      <c r="F327" s="10" t="n">
        <v>24.98</v>
      </c>
      <c r="G327" s="6" t="n">
        <v>24.98</v>
      </c>
      <c r="H327" s="5" t="s">
        <v>1059</v>
      </c>
      <c r="I327" s="3" t="s">
        <v>1036</v>
      </c>
      <c r="J327" s="11" t="s">
        <v>236</v>
      </c>
      <c r="K327" s="17" t="n">
        <v>3.7882000000000002</v>
      </c>
      <c r="L327" s="17" t="n">
        <v>3.7882000000000002</v>
      </c>
      <c r="M327" s="3" t="s">
        <v>20</v>
      </c>
      <c r="N327" s="3" t="s">
        <v>283</v>
      </c>
      <c r="O327" s="3" t="s">
        <v>264</v>
      </c>
      <c r="P327" s="12" t="s">
        <v>1196</v>
      </c>
    </row>
    <row r="328" spans="1:16" ht="24.75">
      <c r="A328" s="9" t="s">
        <v>1060</v>
      </c>
      <c r="B328" s="3" t="s">
        <v>1061</v>
      </c>
      <c r="C328" s="5" t="n">
        <v>1.0</v>
      </c>
      <c r="D328" s="6" t="n">
        <v>12.01</v>
      </c>
      <c r="E328" s="6" t="n">
        <v>12.01</v>
      </c>
      <c r="F328" s="10" t="n">
        <v>49.0</v>
      </c>
      <c r="G328" s="6" t="n">
        <v>49.0</v>
      </c>
      <c r="H328" s="5" t="s">
        <v>1062</v>
      </c>
      <c r="I328" s="3" t="s">
        <v>71</v>
      </c>
      <c r="J328" s="11" t="s">
        <v>72</v>
      </c>
      <c r="K328" s="17" t="n">
        <v>3.7231000000000005</v>
      </c>
      <c r="L328" s="17" t="n">
        <v>3.7231000000000005</v>
      </c>
      <c r="M328" s="3" t="s">
        <v>20</v>
      </c>
      <c r="N328" s="3" t="s">
        <v>1063</v>
      </c>
      <c r="O328" s="3" t="s">
        <v>1064</v>
      </c>
      <c r="P328" s="12" t="s">
        <v>1196</v>
      </c>
    </row>
    <row r="329" spans="1:16">
      <c r="A329" s="9" t="s">
        <v>1065</v>
      </c>
      <c r="B329" s="3" t="s">
        <v>1066</v>
      </c>
      <c r="C329" s="5" t="n">
        <v>1.0</v>
      </c>
      <c r="D329" s="6" t="n">
        <v>12.0</v>
      </c>
      <c r="E329" s="6" t="n">
        <v>12.0</v>
      </c>
      <c r="F329" s="10" t="n">
        <v>24.98</v>
      </c>
      <c r="G329" s="6" t="n">
        <v>24.98</v>
      </c>
      <c r="H329" s="5" t="n">
        <v>9529.0</v>
      </c>
      <c r="I329" s="3" t="s">
        <v>410</v>
      </c>
      <c r="J329" s="11" t="s">
        <v>57</v>
      </c>
      <c r="K329" s="17" t="n">
        <v>3.7199999999999998</v>
      </c>
      <c r="L329" s="17" t="n">
        <v>3.7199999999999998</v>
      </c>
      <c r="M329" s="3" t="s">
        <v>20</v>
      </c>
      <c r="N329" s="3" t="s">
        <v>204</v>
      </c>
      <c r="O329" s="3" t="s">
        <v>188</v>
      </c>
      <c r="P329" s="12" t="s">
        <v>1196</v>
      </c>
    </row>
    <row r="330" spans="1:16">
      <c r="A330" s="9" t="s">
        <v>1067</v>
      </c>
      <c r="B330" s="3" t="s">
        <v>1068</v>
      </c>
      <c r="C330" s="5" t="n">
        <v>1.0</v>
      </c>
      <c r="D330" s="6" t="n">
        <v>12.0</v>
      </c>
      <c r="E330" s="6" t="n">
        <v>12.0</v>
      </c>
      <c r="F330" s="10" t="n">
        <v>24.98</v>
      </c>
      <c r="G330" s="6" t="n">
        <v>24.98</v>
      </c>
      <c r="H330" s="5" t="n">
        <v>9529.0</v>
      </c>
      <c r="I330" s="3" t="s">
        <v>410</v>
      </c>
      <c r="J330" s="11" t="s">
        <v>1069</v>
      </c>
      <c r="K330" s="17" t="n">
        <v>3.7199999999999998</v>
      </c>
      <c r="L330" s="17" t="n">
        <v>3.7199999999999998</v>
      </c>
      <c r="M330" s="3" t="s">
        <v>20</v>
      </c>
      <c r="N330" s="3" t="s">
        <v>204</v>
      </c>
      <c r="O330" s="3" t="s">
        <v>188</v>
      </c>
      <c r="P330" s="12" t="s">
        <v>1196</v>
      </c>
    </row>
    <row r="331" spans="1:16" ht="24.75">
      <c r="A331" s="9" t="s">
        <v>1070</v>
      </c>
      <c r="B331" s="3" t="s">
        <v>1071</v>
      </c>
      <c r="C331" s="5" t="n">
        <v>1.0</v>
      </c>
      <c r="D331" s="6" t="n">
        <v>12.0</v>
      </c>
      <c r="E331" s="6" t="n">
        <v>12.0</v>
      </c>
      <c r="F331" s="10" t="n">
        <v>30.0</v>
      </c>
      <c r="G331" s="6" t="n">
        <v>30.0</v>
      </c>
      <c r="H331" s="5" t="n">
        <v>589370.0</v>
      </c>
      <c r="I331" s="3" t="s">
        <v>80</v>
      </c>
      <c r="J331" s="11" t="s">
        <v>81</v>
      </c>
      <c r="K331" s="17" t="n">
        <v>3.7199999999999998</v>
      </c>
      <c r="L331" s="17" t="n">
        <v>3.7199999999999998</v>
      </c>
      <c r="M331" s="3" t="s">
        <v>20</v>
      </c>
      <c r="N331" s="3" t="s">
        <v>352</v>
      </c>
      <c r="O331" s="3" t="s">
        <v>353</v>
      </c>
      <c r="P331" s="12" t="s">
        <v>1196</v>
      </c>
    </row>
    <row r="332" spans="1:16" ht="24.75">
      <c r="A332" s="9" t="s">
        <v>1072</v>
      </c>
      <c r="B332" s="3" t="s">
        <v>1073</v>
      </c>
      <c r="C332" s="5" t="n">
        <v>1.0</v>
      </c>
      <c r="D332" s="6" t="n">
        <v>12.0</v>
      </c>
      <c r="E332" s="6" t="n">
        <v>12.0</v>
      </c>
      <c r="F332" s="10" t="n">
        <v>24.98</v>
      </c>
      <c r="G332" s="6" t="n">
        <v>24.98</v>
      </c>
      <c r="H332" s="5" t="s">
        <v>1074</v>
      </c>
      <c r="I332" s="3" t="s">
        <v>71</v>
      </c>
      <c r="J332" s="11" t="s">
        <v>45</v>
      </c>
      <c r="K332" s="17" t="n">
        <v>3.7199999999999998</v>
      </c>
      <c r="L332" s="17" t="n">
        <v>3.7199999999999998</v>
      </c>
      <c r="M332" s="3" t="s">
        <v>20</v>
      </c>
      <c r="N332" s="3" t="s">
        <v>491</v>
      </c>
      <c r="O332" s="3" t="s">
        <v>1075</v>
      </c>
      <c r="P332" s="12" t="s">
        <v>1196</v>
      </c>
    </row>
    <row r="333" spans="1:16" ht="24.75">
      <c r="A333" s="9" t="s">
        <v>1076</v>
      </c>
      <c r="B333" s="3" t="s">
        <v>1077</v>
      </c>
      <c r="C333" s="5" t="n">
        <v>1.0</v>
      </c>
      <c r="D333" s="6" t="n">
        <v>11.55</v>
      </c>
      <c r="E333" s="6" t="n">
        <v>11.55</v>
      </c>
      <c r="F333" s="10" t="n">
        <v>29.25</v>
      </c>
      <c r="G333" s="6" t="n">
        <v>29.25</v>
      </c>
      <c r="H333" s="5" t="s">
        <v>1078</v>
      </c>
      <c r="I333" s="3" t="s">
        <v>1196</v>
      </c>
      <c r="J333" s="11" t="s">
        <v>1196</v>
      </c>
      <c r="K333" s="17" t="n">
        <v>3.5805000000000002</v>
      </c>
      <c r="L333" s="17" t="n">
        <v>3.5805000000000002</v>
      </c>
      <c r="M333" s="3" t="s">
        <v>20</v>
      </c>
      <c r="N333" s="3" t="s">
        <v>460</v>
      </c>
      <c r="O333" s="3" t="s">
        <v>264</v>
      </c>
      <c r="P333" s="12" t="s">
        <v>1196</v>
      </c>
    </row>
    <row r="334" spans="1:16">
      <c r="A334" s="9" t="s">
        <v>1079</v>
      </c>
      <c r="B334" s="3" t="s">
        <v>1080</v>
      </c>
      <c r="C334" s="5" t="n">
        <v>1.0</v>
      </c>
      <c r="D334" s="6" t="n">
        <v>11.5</v>
      </c>
      <c r="E334" s="6" t="n">
        <v>11.5</v>
      </c>
      <c r="F334" s="10" t="n">
        <v>34.99</v>
      </c>
      <c r="G334" s="6" t="n">
        <v>34.99</v>
      </c>
      <c r="H334" s="5" t="s">
        <v>1081</v>
      </c>
      <c r="I334" s="3" t="s">
        <v>171</v>
      </c>
      <c r="J334" s="11" t="s">
        <v>76</v>
      </c>
      <c r="K334" s="17" t="n">
        <v>3.565</v>
      </c>
      <c r="L334" s="17" t="n">
        <v>3.565</v>
      </c>
      <c r="M334" s="3" t="s">
        <v>20</v>
      </c>
      <c r="N334" s="3" t="s">
        <v>283</v>
      </c>
      <c r="O334" s="3" t="s">
        <v>264</v>
      </c>
      <c r="P334" s="12" t="s">
        <v>1196</v>
      </c>
    </row>
    <row r="335" spans="1:16" ht="24.75">
      <c r="A335" s="9" t="s">
        <v>1082</v>
      </c>
      <c r="B335" s="3" t="s">
        <v>1083</v>
      </c>
      <c r="C335" s="5" t="n">
        <v>3.0</v>
      </c>
      <c r="D335" s="6" t="n">
        <v>11.5</v>
      </c>
      <c r="E335" s="6" t="n">
        <v>34.5</v>
      </c>
      <c r="F335" s="10" t="n">
        <v>24.98</v>
      </c>
      <c r="G335" s="6" t="n">
        <v>74.94</v>
      </c>
      <c r="H335" s="5" t="s">
        <v>1084</v>
      </c>
      <c r="I335" s="3" t="s">
        <v>1036</v>
      </c>
      <c r="J335" s="11" t="s">
        <v>35</v>
      </c>
      <c r="K335" s="17" t="n">
        <v>3.565</v>
      </c>
      <c r="L335" s="17" t="n">
        <v>10.695</v>
      </c>
      <c r="M335" s="3" t="s">
        <v>20</v>
      </c>
      <c r="N335" s="3" t="s">
        <v>283</v>
      </c>
      <c r="O335" s="3" t="s">
        <v>264</v>
      </c>
      <c r="P335" s="12" t="s">
        <v>1196</v>
      </c>
    </row>
    <row r="336" spans="1:16" ht="24.75">
      <c r="A336" s="9" t="s">
        <v>1085</v>
      </c>
      <c r="B336" s="3" t="s">
        <v>1086</v>
      </c>
      <c r="C336" s="5" t="n">
        <v>1.0</v>
      </c>
      <c r="D336" s="6" t="n">
        <v>11.5</v>
      </c>
      <c r="E336" s="6" t="n">
        <v>11.5</v>
      </c>
      <c r="F336" s="10" t="n">
        <v>34.99</v>
      </c>
      <c r="G336" s="6" t="n">
        <v>34.99</v>
      </c>
      <c r="H336" s="5" t="s">
        <v>1087</v>
      </c>
      <c r="I336" s="3" t="s">
        <v>1036</v>
      </c>
      <c r="J336" s="11" t="s">
        <v>81</v>
      </c>
      <c r="K336" s="17" t="n">
        <v>3.565</v>
      </c>
      <c r="L336" s="17" t="n">
        <v>3.565</v>
      </c>
      <c r="M336" s="3" t="s">
        <v>20</v>
      </c>
      <c r="N336" s="3" t="s">
        <v>283</v>
      </c>
      <c r="O336" s="3" t="s">
        <v>264</v>
      </c>
      <c r="P336" s="12" t="s">
        <v>1196</v>
      </c>
    </row>
    <row r="337" spans="1:16" ht="24.75">
      <c r="A337" s="9" t="s">
        <v>1088</v>
      </c>
      <c r="B337" s="3" t="s">
        <v>1089</v>
      </c>
      <c r="C337" s="5" t="n">
        <v>2.0</v>
      </c>
      <c r="D337" s="6" t="n">
        <v>11.5</v>
      </c>
      <c r="E337" s="6" t="n">
        <v>23.0</v>
      </c>
      <c r="F337" s="10" t="n">
        <v>24.98</v>
      </c>
      <c r="G337" s="6" t="n">
        <v>49.96</v>
      </c>
      <c r="H337" s="5" t="s">
        <v>1090</v>
      </c>
      <c r="I337" s="3" t="s">
        <v>56</v>
      </c>
      <c r="J337" s="11" t="s">
        <v>35</v>
      </c>
      <c r="K337" s="17" t="n">
        <v>3.565</v>
      </c>
      <c r="L337" s="17" t="n">
        <v>7.13</v>
      </c>
      <c r="M337" s="3" t="s">
        <v>20</v>
      </c>
      <c r="N337" s="3" t="s">
        <v>283</v>
      </c>
      <c r="O337" s="3" t="s">
        <v>264</v>
      </c>
      <c r="P337" s="12" t="s">
        <v>1196</v>
      </c>
    </row>
    <row r="338" spans="1:16" ht="24.75">
      <c r="A338" s="9" t="s">
        <v>1091</v>
      </c>
      <c r="B338" s="3" t="s">
        <v>1092</v>
      </c>
      <c r="C338" s="5" t="n">
        <v>2.0</v>
      </c>
      <c r="D338" s="6" t="n">
        <v>11.5</v>
      </c>
      <c r="E338" s="6" t="n">
        <v>23.0</v>
      </c>
      <c r="F338" s="10" t="n">
        <v>24.98</v>
      </c>
      <c r="G338" s="6" t="n">
        <v>49.96</v>
      </c>
      <c r="H338" s="5" t="s">
        <v>1090</v>
      </c>
      <c r="I338" s="3" t="s">
        <v>56</v>
      </c>
      <c r="J338" s="11" t="s">
        <v>45</v>
      </c>
      <c r="K338" s="17" t="n">
        <v>3.565</v>
      </c>
      <c r="L338" s="17" t="n">
        <v>7.13</v>
      </c>
      <c r="M338" s="3" t="s">
        <v>20</v>
      </c>
      <c r="N338" s="3" t="s">
        <v>283</v>
      </c>
      <c r="O338" s="3" t="s">
        <v>264</v>
      </c>
      <c r="P338" s="12" t="s">
        <v>1196</v>
      </c>
    </row>
    <row r="339" spans="1:16">
      <c r="A339" s="9" t="s">
        <v>1093</v>
      </c>
      <c r="B339" s="3" t="s">
        <v>1094</v>
      </c>
      <c r="C339" s="5" t="n">
        <v>3.0</v>
      </c>
      <c r="D339" s="6" t="n">
        <v>11.5</v>
      </c>
      <c r="E339" s="6" t="n">
        <v>34.5</v>
      </c>
      <c r="F339" s="10" t="n">
        <v>24.98</v>
      </c>
      <c r="G339" s="6" t="n">
        <v>74.94</v>
      </c>
      <c r="H339" s="5" t="s">
        <v>1084</v>
      </c>
      <c r="I339" s="3" t="s">
        <v>1036</v>
      </c>
      <c r="J339" s="11" t="s">
        <v>45</v>
      </c>
      <c r="K339" s="17" t="n">
        <v>3.565</v>
      </c>
      <c r="L339" s="17" t="n">
        <v>10.695</v>
      </c>
      <c r="M339" s="3" t="s">
        <v>20</v>
      </c>
      <c r="N339" s="3" t="s">
        <v>283</v>
      </c>
      <c r="O339" s="3" t="s">
        <v>264</v>
      </c>
      <c r="P339" s="12" t="s">
        <v>1196</v>
      </c>
    </row>
    <row r="340" spans="1:16" ht="24.75">
      <c r="A340" s="9" t="s">
        <v>1095</v>
      </c>
      <c r="B340" s="3" t="s">
        <v>1096</v>
      </c>
      <c r="C340" s="5" t="n">
        <v>1.0</v>
      </c>
      <c r="D340" s="6" t="n">
        <v>11.5</v>
      </c>
      <c r="E340" s="6" t="n">
        <v>11.5</v>
      </c>
      <c r="F340" s="10" t="n">
        <v>24.98</v>
      </c>
      <c r="G340" s="6" t="n">
        <v>24.98</v>
      </c>
      <c r="H340" s="5" t="s">
        <v>1084</v>
      </c>
      <c r="I340" s="3" t="s">
        <v>1036</v>
      </c>
      <c r="J340" s="11" t="s">
        <v>76</v>
      </c>
      <c r="K340" s="17" t="n">
        <v>3.565</v>
      </c>
      <c r="L340" s="17" t="n">
        <v>3.565</v>
      </c>
      <c r="M340" s="3" t="s">
        <v>20</v>
      </c>
      <c r="N340" s="3" t="s">
        <v>283</v>
      </c>
      <c r="O340" s="3" t="s">
        <v>264</v>
      </c>
      <c r="P340" s="12" t="s">
        <v>1196</v>
      </c>
    </row>
    <row r="341" spans="1:16" ht="24.75">
      <c r="A341" s="9" t="s">
        <v>1097</v>
      </c>
      <c r="B341" s="3" t="s">
        <v>1098</v>
      </c>
      <c r="C341" s="5" t="n">
        <v>1.0</v>
      </c>
      <c r="D341" s="6" t="n">
        <v>11.5</v>
      </c>
      <c r="E341" s="6" t="n">
        <v>11.5</v>
      </c>
      <c r="F341" s="10" t="n">
        <v>24.98</v>
      </c>
      <c r="G341" s="6" t="n">
        <v>24.98</v>
      </c>
      <c r="H341" s="5" t="s">
        <v>1099</v>
      </c>
      <c r="I341" s="3" t="s">
        <v>1036</v>
      </c>
      <c r="J341" s="11" t="s">
        <v>76</v>
      </c>
      <c r="K341" s="17" t="n">
        <v>3.565</v>
      </c>
      <c r="L341" s="17" t="n">
        <v>3.565</v>
      </c>
      <c r="M341" s="3" t="s">
        <v>20</v>
      </c>
      <c r="N341" s="3" t="s">
        <v>283</v>
      </c>
      <c r="O341" s="3" t="s">
        <v>264</v>
      </c>
      <c r="P341" s="12" t="s">
        <v>1196</v>
      </c>
    </row>
    <row r="342" spans="1:16" ht="24.75">
      <c r="A342" s="9" t="s">
        <v>1100</v>
      </c>
      <c r="B342" s="3" t="s">
        <v>1101</v>
      </c>
      <c r="C342" s="5" t="n">
        <v>1.0</v>
      </c>
      <c r="D342" s="6" t="n">
        <v>11.5</v>
      </c>
      <c r="E342" s="6" t="n">
        <v>11.5</v>
      </c>
      <c r="F342" s="10" t="n">
        <v>24.98</v>
      </c>
      <c r="G342" s="6" t="n">
        <v>24.98</v>
      </c>
      <c r="H342" s="5" t="s">
        <v>1090</v>
      </c>
      <c r="I342" s="3" t="s">
        <v>56</v>
      </c>
      <c r="J342" s="11" t="s">
        <v>76</v>
      </c>
      <c r="K342" s="17" t="n">
        <v>3.565</v>
      </c>
      <c r="L342" s="17" t="n">
        <v>3.565</v>
      </c>
      <c r="M342" s="3" t="s">
        <v>20</v>
      </c>
      <c r="N342" s="3" t="s">
        <v>283</v>
      </c>
      <c r="O342" s="3" t="s">
        <v>264</v>
      </c>
      <c r="P342" s="12" t="s">
        <v>1196</v>
      </c>
    </row>
    <row r="343" spans="1:16" ht="24.75">
      <c r="A343" s="9" t="s">
        <v>1102</v>
      </c>
      <c r="B343" s="3" t="s">
        <v>1103</v>
      </c>
      <c r="C343" s="5" t="n">
        <v>1.0</v>
      </c>
      <c r="D343" s="6" t="n">
        <v>11.5</v>
      </c>
      <c r="E343" s="6" t="n">
        <v>11.5</v>
      </c>
      <c r="F343" s="10" t="n">
        <v>24.98</v>
      </c>
      <c r="G343" s="6" t="n">
        <v>24.98</v>
      </c>
      <c r="H343" s="5" t="s">
        <v>1099</v>
      </c>
      <c r="I343" s="3" t="s">
        <v>1036</v>
      </c>
      <c r="J343" s="11" t="s">
        <v>81</v>
      </c>
      <c r="K343" s="17" t="n">
        <v>3.565</v>
      </c>
      <c r="L343" s="17" t="n">
        <v>3.565</v>
      </c>
      <c r="M343" s="3" t="s">
        <v>20</v>
      </c>
      <c r="N343" s="3" t="s">
        <v>283</v>
      </c>
      <c r="O343" s="3" t="s">
        <v>264</v>
      </c>
      <c r="P343" s="12" t="s">
        <v>1196</v>
      </c>
    </row>
    <row r="344" spans="1:16" ht="24.75">
      <c r="A344" s="9" t="s">
        <v>1104</v>
      </c>
      <c r="B344" s="3" t="s">
        <v>1105</v>
      </c>
      <c r="C344" s="5" t="n">
        <v>1.0</v>
      </c>
      <c r="D344" s="6" t="n">
        <v>11.5</v>
      </c>
      <c r="E344" s="6" t="n">
        <v>11.5</v>
      </c>
      <c r="F344" s="10" t="n">
        <v>24.98</v>
      </c>
      <c r="G344" s="6" t="n">
        <v>24.98</v>
      </c>
      <c r="H344" s="5" t="s">
        <v>1084</v>
      </c>
      <c r="I344" s="3" t="s">
        <v>1036</v>
      </c>
      <c r="J344" s="11" t="s">
        <v>81</v>
      </c>
      <c r="K344" s="17" t="n">
        <v>3.565</v>
      </c>
      <c r="L344" s="17" t="n">
        <v>3.565</v>
      </c>
      <c r="M344" s="3" t="s">
        <v>20</v>
      </c>
      <c r="N344" s="3" t="s">
        <v>283</v>
      </c>
      <c r="O344" s="3" t="s">
        <v>264</v>
      </c>
      <c r="P344" s="12" t="s">
        <v>1196</v>
      </c>
    </row>
    <row r="345" spans="1:16" ht="24.75">
      <c r="A345" s="9" t="s">
        <v>1106</v>
      </c>
      <c r="B345" s="3" t="s">
        <v>1107</v>
      </c>
      <c r="C345" s="5" t="n">
        <v>1.0</v>
      </c>
      <c r="D345" s="6" t="n">
        <v>11.5</v>
      </c>
      <c r="E345" s="6" t="n">
        <v>11.5</v>
      </c>
      <c r="F345" s="10" t="n">
        <v>24.98</v>
      </c>
      <c r="G345" s="6" t="n">
        <v>24.98</v>
      </c>
      <c r="H345" s="5" t="s">
        <v>1108</v>
      </c>
      <c r="I345" s="3" t="s">
        <v>1036</v>
      </c>
      <c r="J345" s="11" t="s">
        <v>76</v>
      </c>
      <c r="K345" s="17" t="n">
        <v>3.565</v>
      </c>
      <c r="L345" s="17" t="n">
        <v>3.565</v>
      </c>
      <c r="M345" s="3" t="s">
        <v>20</v>
      </c>
      <c r="N345" s="3" t="s">
        <v>283</v>
      </c>
      <c r="O345" s="3" t="s">
        <v>264</v>
      </c>
      <c r="P345" s="12" t="s">
        <v>1196</v>
      </c>
    </row>
    <row r="346" spans="1:16" ht="24.75">
      <c r="A346" s="9" t="s">
        <v>1109</v>
      </c>
      <c r="B346" s="3" t="s">
        <v>1110</v>
      </c>
      <c r="C346" s="5" t="n">
        <v>1.0</v>
      </c>
      <c r="D346" s="6" t="n">
        <v>11.5</v>
      </c>
      <c r="E346" s="6" t="n">
        <v>11.5</v>
      </c>
      <c r="F346" s="10" t="n">
        <v>24.98</v>
      </c>
      <c r="G346" s="6" t="n">
        <v>24.98</v>
      </c>
      <c r="H346" s="5" t="s">
        <v>1111</v>
      </c>
      <c r="I346" s="3" t="s">
        <v>171</v>
      </c>
      <c r="J346" s="11" t="s">
        <v>45</v>
      </c>
      <c r="K346" s="17" t="n">
        <v>3.565</v>
      </c>
      <c r="L346" s="17" t="n">
        <v>3.565</v>
      </c>
      <c r="M346" s="3" t="s">
        <v>20</v>
      </c>
      <c r="N346" s="3" t="s">
        <v>283</v>
      </c>
      <c r="O346" s="3" t="s">
        <v>264</v>
      </c>
      <c r="P346" s="12" t="s">
        <v>1196</v>
      </c>
    </row>
    <row r="347" spans="1:16" ht="24.75">
      <c r="A347" s="9" t="s">
        <v>1112</v>
      </c>
      <c r="B347" s="3" t="s">
        <v>1113</v>
      </c>
      <c r="C347" s="5" t="n">
        <v>1.0</v>
      </c>
      <c r="D347" s="6" t="n">
        <v>11.0</v>
      </c>
      <c r="E347" s="6" t="n">
        <v>11.0</v>
      </c>
      <c r="F347" s="10" t="n">
        <v>24.99</v>
      </c>
      <c r="G347" s="6" t="n">
        <v>24.99</v>
      </c>
      <c r="H347" s="5" t="s">
        <v>1114</v>
      </c>
      <c r="I347" s="3" t="s">
        <v>94</v>
      </c>
      <c r="J347" s="11" t="s">
        <v>76</v>
      </c>
      <c r="K347" s="17" t="n">
        <v>3.4100000000000006</v>
      </c>
      <c r="L347" s="17" t="n">
        <v>3.4100000000000006</v>
      </c>
      <c r="M347" s="3" t="s">
        <v>20</v>
      </c>
      <c r="N347" s="3" t="s">
        <v>290</v>
      </c>
      <c r="O347" s="3" t="s">
        <v>287</v>
      </c>
      <c r="P347" s="12" t="s">
        <v>1196</v>
      </c>
    </row>
    <row r="348" spans="1:16" ht="24.75">
      <c r="A348" s="9" t="s">
        <v>1115</v>
      </c>
      <c r="B348" s="3" t="s">
        <v>1116</v>
      </c>
      <c r="C348" s="5" t="n">
        <v>1.0</v>
      </c>
      <c r="D348" s="6" t="n">
        <v>10.75</v>
      </c>
      <c r="E348" s="6" t="n">
        <v>10.75</v>
      </c>
      <c r="F348" s="10" t="n">
        <v>24.99</v>
      </c>
      <c r="G348" s="6" t="n">
        <v>24.99</v>
      </c>
      <c r="H348" s="5" t="s">
        <v>1117</v>
      </c>
      <c r="I348" s="3" t="s">
        <v>361</v>
      </c>
      <c r="J348" s="11" t="s">
        <v>81</v>
      </c>
      <c r="K348" s="17" t="n">
        <v>3.3325</v>
      </c>
      <c r="L348" s="17" t="n">
        <v>3.3325</v>
      </c>
      <c r="M348" s="3" t="s">
        <v>20</v>
      </c>
      <c r="N348" s="3" t="s">
        <v>670</v>
      </c>
      <c r="O348" s="3" t="s">
        <v>585</v>
      </c>
      <c r="P348" s="12" t="s">
        <v>1196</v>
      </c>
    </row>
    <row r="349" spans="1:16" ht="24.75">
      <c r="A349" s="9" t="s">
        <v>1118</v>
      </c>
      <c r="B349" s="3" t="s">
        <v>1119</v>
      </c>
      <c r="C349" s="5" t="n">
        <v>1.0</v>
      </c>
      <c r="D349" s="6" t="n">
        <v>10.5</v>
      </c>
      <c r="E349" s="6" t="n">
        <v>10.5</v>
      </c>
      <c r="F349" s="10" t="n">
        <v>24.99</v>
      </c>
      <c r="G349" s="6" t="n">
        <v>24.99</v>
      </c>
      <c r="H349" s="5" t="s">
        <v>1120</v>
      </c>
      <c r="I349" s="3" t="s">
        <v>1196</v>
      </c>
      <c r="J349" s="11" t="s">
        <v>45</v>
      </c>
      <c r="K349" s="17" t="n">
        <v>3.2550000000000003</v>
      </c>
      <c r="L349" s="17" t="n">
        <v>3.2550000000000003</v>
      </c>
      <c r="M349" s="3" t="s">
        <v>20</v>
      </c>
      <c r="N349" s="3" t="s">
        <v>229</v>
      </c>
      <c r="O349" s="3" t="s">
        <v>518</v>
      </c>
      <c r="P349" s="12" t="s">
        <v>1196</v>
      </c>
    </row>
    <row r="350" spans="1:16" ht="24.75">
      <c r="A350" s="9" t="s">
        <v>1121</v>
      </c>
      <c r="B350" s="3" t="s">
        <v>1122</v>
      </c>
      <c r="C350" s="5" t="n">
        <v>1.0</v>
      </c>
      <c r="D350" s="6" t="n">
        <v>10.5</v>
      </c>
      <c r="E350" s="6" t="n">
        <v>10.5</v>
      </c>
      <c r="F350" s="10" t="n">
        <v>24.99</v>
      </c>
      <c r="G350" s="6" t="n">
        <v>24.99</v>
      </c>
      <c r="H350" s="5" t="s">
        <v>1123</v>
      </c>
      <c r="I350" s="3" t="s">
        <v>361</v>
      </c>
      <c r="J350" s="11" t="s">
        <v>81</v>
      </c>
      <c r="K350" s="17" t="n">
        <v>3.2550000000000003</v>
      </c>
      <c r="L350" s="17" t="n">
        <v>3.2550000000000003</v>
      </c>
      <c r="M350" s="3" t="s">
        <v>20</v>
      </c>
      <c r="N350" s="3" t="s">
        <v>670</v>
      </c>
      <c r="O350" s="3" t="s">
        <v>585</v>
      </c>
      <c r="P350" s="12" t="s">
        <v>1196</v>
      </c>
    </row>
    <row r="351" spans="1:16" ht="24.75">
      <c r="A351" s="9" t="s">
        <v>1124</v>
      </c>
      <c r="B351" s="3" t="s">
        <v>1125</v>
      </c>
      <c r="C351" s="5" t="n">
        <v>1.0</v>
      </c>
      <c r="D351" s="6" t="n">
        <v>10.35</v>
      </c>
      <c r="E351" s="6" t="n">
        <v>10.35</v>
      </c>
      <c r="F351" s="10" t="n">
        <v>29.5</v>
      </c>
      <c r="G351" s="6" t="n">
        <v>29.5</v>
      </c>
      <c r="H351" s="5" t="s">
        <v>1126</v>
      </c>
      <c r="I351" s="3" t="s">
        <v>141</v>
      </c>
      <c r="J351" s="11" t="s">
        <v>35</v>
      </c>
      <c r="K351" s="17" t="n">
        <v>3.2085</v>
      </c>
      <c r="L351" s="17" t="n">
        <v>3.2085</v>
      </c>
      <c r="M351" s="3" t="s">
        <v>20</v>
      </c>
      <c r="N351" s="3" t="s">
        <v>152</v>
      </c>
      <c r="O351" s="3" t="s">
        <v>153</v>
      </c>
      <c r="P351" s="12" t="s">
        <v>1196</v>
      </c>
    </row>
    <row r="352" spans="1:16" ht="24.75">
      <c r="A352" s="9" t="s">
        <v>1127</v>
      </c>
      <c r="B352" s="3" t="s">
        <v>1128</v>
      </c>
      <c r="C352" s="5" t="n">
        <v>2.0</v>
      </c>
      <c r="D352" s="6" t="n">
        <v>10.25</v>
      </c>
      <c r="E352" s="6" t="n">
        <v>20.5</v>
      </c>
      <c r="F352" s="10" t="n">
        <v>33.0</v>
      </c>
      <c r="G352" s="6" t="n">
        <v>66.0</v>
      </c>
      <c r="H352" s="5" t="s">
        <v>1129</v>
      </c>
      <c r="I352" s="3" t="s">
        <v>34</v>
      </c>
      <c r="J352" s="11" t="s">
        <v>35</v>
      </c>
      <c r="K352" s="17" t="n">
        <v>3.1774999999999998</v>
      </c>
      <c r="L352" s="17" t="n">
        <v>6.3549999999999995</v>
      </c>
      <c r="M352" s="3" t="s">
        <v>20</v>
      </c>
      <c r="N352" s="3" t="s">
        <v>229</v>
      </c>
      <c r="O352" s="3" t="s">
        <v>1130</v>
      </c>
      <c r="P352" s="12" t="s">
        <v>1196</v>
      </c>
    </row>
    <row r="353" spans="1:16" ht="24.75">
      <c r="A353" s="9" t="s">
        <v>1131</v>
      </c>
      <c r="B353" s="3" t="s">
        <v>1132</v>
      </c>
      <c r="C353" s="5" t="n">
        <v>1.0</v>
      </c>
      <c r="D353" s="6" t="n">
        <v>10.0</v>
      </c>
      <c r="E353" s="6" t="n">
        <v>10.0</v>
      </c>
      <c r="F353" s="10" t="n">
        <v>19.99</v>
      </c>
      <c r="G353" s="6" t="n">
        <v>19.99</v>
      </c>
      <c r="H353" s="5" t="s">
        <v>1133</v>
      </c>
      <c r="I353" s="3" t="s">
        <v>1050</v>
      </c>
      <c r="J353" s="11" t="s">
        <v>35</v>
      </c>
      <c r="K353" s="17" t="n">
        <v>3.1</v>
      </c>
      <c r="L353" s="17" t="n">
        <v>3.1</v>
      </c>
      <c r="M353" s="3" t="s">
        <v>20</v>
      </c>
      <c r="N353" s="3" t="s">
        <v>670</v>
      </c>
      <c r="O353" s="3" t="s">
        <v>585</v>
      </c>
      <c r="P353" s="12" t="s">
        <v>1196</v>
      </c>
    </row>
    <row r="354" spans="1:16" ht="24.75">
      <c r="A354" s="9" t="s">
        <v>1134</v>
      </c>
      <c r="B354" s="3" t="s">
        <v>1135</v>
      </c>
      <c r="C354" s="5" t="n">
        <v>1.0</v>
      </c>
      <c r="D354" s="6" t="n">
        <v>10.0</v>
      </c>
      <c r="E354" s="6" t="n">
        <v>10.0</v>
      </c>
      <c r="F354" s="10" t="n">
        <v>29.99</v>
      </c>
      <c r="G354" s="6" t="n">
        <v>29.99</v>
      </c>
      <c r="H354" s="5" t="s">
        <v>1136</v>
      </c>
      <c r="I354" s="3" t="s">
        <v>71</v>
      </c>
      <c r="J354" s="11" t="s">
        <v>35</v>
      </c>
      <c r="K354" s="17" t="n">
        <v>3.1</v>
      </c>
      <c r="L354" s="17" t="n">
        <v>3.1</v>
      </c>
      <c r="M354" s="3" t="s">
        <v>20</v>
      </c>
      <c r="N354" s="3" t="s">
        <v>491</v>
      </c>
      <c r="O354" s="3" t="s">
        <v>492</v>
      </c>
      <c r="P354" s="12" t="s">
        <v>1196</v>
      </c>
    </row>
    <row r="355" spans="1:16" ht="24.75">
      <c r="A355" s="9" t="s">
        <v>1137</v>
      </c>
      <c r="B355" s="3" t="s">
        <v>1138</v>
      </c>
      <c r="C355" s="5" t="n">
        <v>2.0</v>
      </c>
      <c r="D355" s="6" t="n">
        <v>9.95</v>
      </c>
      <c r="E355" s="6" t="n">
        <v>19.9</v>
      </c>
      <c r="F355" s="10" t="n">
        <v>29.99</v>
      </c>
      <c r="G355" s="6" t="n">
        <v>59.98</v>
      </c>
      <c r="H355" s="5" t="s">
        <v>1139</v>
      </c>
      <c r="I355" s="3" t="s">
        <v>258</v>
      </c>
      <c r="J355" s="11" t="s">
        <v>35</v>
      </c>
      <c r="K355" s="17" t="n">
        <v>3.0845000000000002</v>
      </c>
      <c r="L355" s="17" t="n">
        <v>6.1690000000000005</v>
      </c>
      <c r="M355" s="3" t="s">
        <v>20</v>
      </c>
      <c r="N355" s="3" t="s">
        <v>491</v>
      </c>
      <c r="O355" s="3" t="s">
        <v>492</v>
      </c>
      <c r="P355" s="12" t="s">
        <v>1196</v>
      </c>
    </row>
    <row r="356" spans="1:16" ht="24.75">
      <c r="A356" s="9" t="s">
        <v>1140</v>
      </c>
      <c r="B356" s="3" t="s">
        <v>1141</v>
      </c>
      <c r="C356" s="5" t="n">
        <v>1.0</v>
      </c>
      <c r="D356" s="6" t="n">
        <v>9.75</v>
      </c>
      <c r="E356" s="6" t="n">
        <v>9.75</v>
      </c>
      <c r="F356" s="10" t="n">
        <v>21.99</v>
      </c>
      <c r="G356" s="6" t="n">
        <v>21.99</v>
      </c>
      <c r="H356" s="5" t="s">
        <v>1142</v>
      </c>
      <c r="I356" s="3" t="s">
        <v>171</v>
      </c>
      <c r="J356" s="11" t="s">
        <v>35</v>
      </c>
      <c r="K356" s="17" t="n">
        <v>3.0225</v>
      </c>
      <c r="L356" s="17" t="n">
        <v>3.0225</v>
      </c>
      <c r="M356" s="3" t="s">
        <v>20</v>
      </c>
      <c r="N356" s="3" t="s">
        <v>670</v>
      </c>
      <c r="O356" s="3" t="s">
        <v>585</v>
      </c>
      <c r="P356" s="12" t="s">
        <v>1196</v>
      </c>
    </row>
    <row r="357" spans="1:16" ht="24.75">
      <c r="A357" s="9" t="s">
        <v>1143</v>
      </c>
      <c r="B357" s="3" t="s">
        <v>1144</v>
      </c>
      <c r="C357" s="5" t="n">
        <v>1.0</v>
      </c>
      <c r="D357" s="6" t="n">
        <v>9.25</v>
      </c>
      <c r="E357" s="6" t="n">
        <v>9.25</v>
      </c>
      <c r="F357" s="10" t="n">
        <v>21.98</v>
      </c>
      <c r="G357" s="6" t="n">
        <v>21.98</v>
      </c>
      <c r="H357" s="5" t="s">
        <v>1145</v>
      </c>
      <c r="I357" s="3" t="s">
        <v>151</v>
      </c>
      <c r="J357" s="11" t="s">
        <v>45</v>
      </c>
      <c r="K357" s="17" t="n">
        <v>2.8675</v>
      </c>
      <c r="L357" s="17" t="n">
        <v>2.8675</v>
      </c>
      <c r="M357" s="3" t="s">
        <v>20</v>
      </c>
      <c r="N357" s="3" t="s">
        <v>283</v>
      </c>
      <c r="O357" s="3" t="s">
        <v>264</v>
      </c>
      <c r="P357" s="12" t="s">
        <v>1196</v>
      </c>
    </row>
    <row r="358" spans="1:16" ht="24.75">
      <c r="A358" s="9" t="s">
        <v>1146</v>
      </c>
      <c r="B358" s="3" t="s">
        <v>1147</v>
      </c>
      <c r="C358" s="5" t="n">
        <v>1.0</v>
      </c>
      <c r="D358" s="6" t="n">
        <v>9.25</v>
      </c>
      <c r="E358" s="6" t="n">
        <v>9.25</v>
      </c>
      <c r="F358" s="10" t="n">
        <v>19.99</v>
      </c>
      <c r="G358" s="6" t="n">
        <v>19.99</v>
      </c>
      <c r="H358" s="5" t="s">
        <v>1148</v>
      </c>
      <c r="I358" s="3" t="s">
        <v>141</v>
      </c>
      <c r="J358" s="11" t="s">
        <v>45</v>
      </c>
      <c r="K358" s="17" t="n">
        <v>2.8675</v>
      </c>
      <c r="L358" s="17" t="n">
        <v>2.8675</v>
      </c>
      <c r="M358" s="3" t="s">
        <v>20</v>
      </c>
      <c r="N358" s="3" t="s">
        <v>670</v>
      </c>
      <c r="O358" s="3" t="s">
        <v>585</v>
      </c>
      <c r="P358" s="12" t="s">
        <v>1196</v>
      </c>
    </row>
    <row r="359" spans="1:16" ht="24.75">
      <c r="A359" s="9" t="s">
        <v>1149</v>
      </c>
      <c r="B359" s="3" t="s">
        <v>1150</v>
      </c>
      <c r="C359" s="5" t="n">
        <v>1.0</v>
      </c>
      <c r="D359" s="6" t="n">
        <v>9.2</v>
      </c>
      <c r="E359" s="6" t="n">
        <v>9.2</v>
      </c>
      <c r="F359" s="10" t="n">
        <v>21.99</v>
      </c>
      <c r="G359" s="6" t="n">
        <v>21.99</v>
      </c>
      <c r="H359" s="5" t="s">
        <v>1151</v>
      </c>
      <c r="I359" s="3" t="s">
        <v>685</v>
      </c>
      <c r="J359" s="11" t="s">
        <v>45</v>
      </c>
      <c r="K359" s="17" t="n">
        <v>2.8520000000000003</v>
      </c>
      <c r="L359" s="17" t="n">
        <v>2.8520000000000003</v>
      </c>
      <c r="M359" s="3" t="s">
        <v>20</v>
      </c>
      <c r="N359" s="3" t="s">
        <v>670</v>
      </c>
      <c r="O359" s="3" t="s">
        <v>585</v>
      </c>
      <c r="P359" s="12" t="s">
        <v>1196</v>
      </c>
    </row>
    <row r="360" spans="1:16" ht="24.75">
      <c r="A360" s="9" t="s">
        <v>1152</v>
      </c>
      <c r="B360" s="3" t="s">
        <v>1153</v>
      </c>
      <c r="C360" s="5" t="n">
        <v>1.0</v>
      </c>
      <c r="D360" s="6" t="n">
        <v>9.0</v>
      </c>
      <c r="E360" s="6" t="n">
        <v>9.0</v>
      </c>
      <c r="F360" s="10" t="n">
        <v>21.75</v>
      </c>
      <c r="G360" s="6" t="n">
        <v>21.75</v>
      </c>
      <c r="H360" s="5" t="s">
        <v>1154</v>
      </c>
      <c r="I360" s="3" t="s">
        <v>1050</v>
      </c>
      <c r="J360" s="11" t="s">
        <v>35</v>
      </c>
      <c r="K360" s="17" t="n">
        <v>2.79</v>
      </c>
      <c r="L360" s="17" t="n">
        <v>2.79</v>
      </c>
      <c r="M360" s="3" t="s">
        <v>20</v>
      </c>
      <c r="N360" s="3" t="s">
        <v>243</v>
      </c>
      <c r="O360" s="3" t="s">
        <v>244</v>
      </c>
      <c r="P360" s="12" t="s">
        <v>1196</v>
      </c>
    </row>
    <row r="361" spans="1:16" ht="24.75">
      <c r="A361" s="9" t="s">
        <v>1155</v>
      </c>
      <c r="B361" s="3" t="s">
        <v>1156</v>
      </c>
      <c r="C361" s="5" t="n">
        <v>1.0</v>
      </c>
      <c r="D361" s="6" t="n">
        <v>9.0</v>
      </c>
      <c r="E361" s="6" t="n">
        <v>9.0</v>
      </c>
      <c r="F361" s="10" t="n">
        <v>21.99</v>
      </c>
      <c r="G361" s="6" t="n">
        <v>21.99</v>
      </c>
      <c r="H361" s="5" t="s">
        <v>1157</v>
      </c>
      <c r="I361" s="3" t="s">
        <v>56</v>
      </c>
      <c r="J361" s="11" t="s">
        <v>72</v>
      </c>
      <c r="K361" s="17" t="n">
        <v>2.79</v>
      </c>
      <c r="L361" s="17" t="n">
        <v>2.79</v>
      </c>
      <c r="M361" s="3" t="s">
        <v>20</v>
      </c>
      <c r="N361" s="3" t="s">
        <v>670</v>
      </c>
      <c r="O361" s="3" t="s">
        <v>585</v>
      </c>
      <c r="P361" s="12" t="s">
        <v>1196</v>
      </c>
    </row>
    <row r="362" spans="1:16" ht="24.75">
      <c r="A362" s="9" t="s">
        <v>1158</v>
      </c>
      <c r="B362" s="3" t="s">
        <v>1159</v>
      </c>
      <c r="C362" s="5" t="n">
        <v>2.0</v>
      </c>
      <c r="D362" s="6" t="n">
        <v>8.87</v>
      </c>
      <c r="E362" s="6" t="n">
        <v>17.74</v>
      </c>
      <c r="F362" s="10" t="n">
        <v>24.99</v>
      </c>
      <c r="G362" s="6" t="n">
        <v>49.98</v>
      </c>
      <c r="H362" s="5" t="s">
        <v>1160</v>
      </c>
      <c r="I362" s="3" t="s">
        <v>136</v>
      </c>
      <c r="J362" s="11" t="s">
        <v>345</v>
      </c>
      <c r="K362" s="17" t="n">
        <v>2.7497000000000003</v>
      </c>
      <c r="L362" s="17" t="n">
        <v>5.4994000000000005</v>
      </c>
      <c r="M362" s="3" t="s">
        <v>20</v>
      </c>
      <c r="N362" s="3" t="s">
        <v>647</v>
      </c>
      <c r="O362" s="3" t="s">
        <v>585</v>
      </c>
      <c r="P362" s="12" t="s">
        <v>1196</v>
      </c>
    </row>
    <row r="363" spans="1:16" ht="24.75">
      <c r="A363" s="9" t="s">
        <v>1161</v>
      </c>
      <c r="B363" s="3" t="s">
        <v>1159</v>
      </c>
      <c r="C363" s="5" t="n">
        <v>1.0</v>
      </c>
      <c r="D363" s="6" t="n">
        <v>8.87</v>
      </c>
      <c r="E363" s="6" t="n">
        <v>8.87</v>
      </c>
      <c r="F363" s="10" t="n">
        <v>24.99</v>
      </c>
      <c r="G363" s="6" t="n">
        <v>24.99</v>
      </c>
      <c r="H363" s="5" t="s">
        <v>1160</v>
      </c>
      <c r="I363" s="3" t="s">
        <v>136</v>
      </c>
      <c r="J363" s="11" t="s">
        <v>1196</v>
      </c>
      <c r="K363" s="17" t="n">
        <v>2.7497000000000003</v>
      </c>
      <c r="L363" s="17" t="n">
        <v>2.7497000000000003</v>
      </c>
      <c r="M363" s="3" t="s">
        <v>20</v>
      </c>
      <c r="N363" s="3" t="s">
        <v>647</v>
      </c>
      <c r="O363" s="3" t="s">
        <v>585</v>
      </c>
      <c r="P363" s="12" t="s">
        <v>1196</v>
      </c>
    </row>
    <row r="364" spans="1:16" ht="24.75">
      <c r="A364" s="9" t="s">
        <v>1162</v>
      </c>
      <c r="B364" s="3" t="s">
        <v>1163</v>
      </c>
      <c r="C364" s="5" t="n">
        <v>1.0</v>
      </c>
      <c r="D364" s="6" t="n">
        <v>8.75</v>
      </c>
      <c r="E364" s="6" t="n">
        <v>8.75</v>
      </c>
      <c r="F364" s="10" t="n">
        <v>18.99</v>
      </c>
      <c r="G364" s="6" t="n">
        <v>18.99</v>
      </c>
      <c r="H364" s="5" t="s">
        <v>1164</v>
      </c>
      <c r="I364" s="3" t="s">
        <v>56</v>
      </c>
      <c r="J364" s="11" t="s">
        <v>45</v>
      </c>
      <c r="K364" s="17" t="n">
        <v>2.7125</v>
      </c>
      <c r="L364" s="17" t="n">
        <v>2.7125</v>
      </c>
      <c r="M364" s="3" t="s">
        <v>20</v>
      </c>
      <c r="N364" s="3" t="s">
        <v>670</v>
      </c>
      <c r="O364" s="3" t="s">
        <v>585</v>
      </c>
      <c r="P364" s="12" t="s">
        <v>1196</v>
      </c>
    </row>
    <row r="365" spans="1:16" ht="24.75">
      <c r="A365" s="9" t="s">
        <v>1165</v>
      </c>
      <c r="B365" s="3" t="s">
        <v>1166</v>
      </c>
      <c r="C365" s="5" t="n">
        <v>1.0</v>
      </c>
      <c r="D365" s="6" t="n">
        <v>8.5</v>
      </c>
      <c r="E365" s="6" t="n">
        <v>8.5</v>
      </c>
      <c r="F365" s="10" t="n">
        <v>16.99</v>
      </c>
      <c r="G365" s="6" t="n">
        <v>16.99</v>
      </c>
      <c r="H365" s="5" t="s">
        <v>1167</v>
      </c>
      <c r="I365" s="3" t="s">
        <v>34</v>
      </c>
      <c r="J365" s="11" t="s">
        <v>177</v>
      </c>
      <c r="K365" s="17" t="n">
        <v>2.635</v>
      </c>
      <c r="L365" s="17" t="n">
        <v>2.635</v>
      </c>
      <c r="M365" s="3" t="s">
        <v>20</v>
      </c>
      <c r="N365" s="3" t="s">
        <v>670</v>
      </c>
      <c r="O365" s="3" t="s">
        <v>585</v>
      </c>
      <c r="P365" s="12" t="s">
        <v>1196</v>
      </c>
    </row>
    <row r="366" spans="1:16" ht="24.75">
      <c r="A366" s="9" t="s">
        <v>1168</v>
      </c>
      <c r="B366" s="3" t="s">
        <v>1169</v>
      </c>
      <c r="C366" s="5" t="n">
        <v>1.0</v>
      </c>
      <c r="D366" s="6" t="n">
        <v>8.25</v>
      </c>
      <c r="E366" s="6" t="n">
        <v>8.25</v>
      </c>
      <c r="F366" s="10" t="n">
        <v>18.99</v>
      </c>
      <c r="G366" s="6" t="n">
        <v>18.99</v>
      </c>
      <c r="H366" s="5" t="s">
        <v>1170</v>
      </c>
      <c r="I366" s="3" t="s">
        <v>151</v>
      </c>
      <c r="J366" s="11" t="s">
        <v>81</v>
      </c>
      <c r="K366" s="17" t="n">
        <v>2.5575</v>
      </c>
      <c r="L366" s="17" t="n">
        <v>2.5575</v>
      </c>
      <c r="M366" s="3" t="s">
        <v>20</v>
      </c>
      <c r="N366" s="3" t="s">
        <v>670</v>
      </c>
      <c r="O366" s="3" t="s">
        <v>585</v>
      </c>
      <c r="P366" s="12" t="s">
        <v>1196</v>
      </c>
    </row>
    <row r="367" spans="1:16" ht="24.75">
      <c r="A367" s="9" t="s">
        <v>1171</v>
      </c>
      <c r="B367" s="3" t="s">
        <v>1172</v>
      </c>
      <c r="C367" s="5" t="n">
        <v>1.0</v>
      </c>
      <c r="D367" s="6" t="n">
        <v>8.22</v>
      </c>
      <c r="E367" s="6" t="n">
        <v>8.22</v>
      </c>
      <c r="F367" s="10" t="n">
        <v>17.98</v>
      </c>
      <c r="G367" s="6" t="n">
        <v>17.98</v>
      </c>
      <c r="H367" s="5" t="s">
        <v>1173</v>
      </c>
      <c r="I367" s="3" t="s">
        <v>341</v>
      </c>
      <c r="J367" s="11" t="s">
        <v>81</v>
      </c>
      <c r="K367" s="17" t="n">
        <v>2.5482</v>
      </c>
      <c r="L367" s="17" t="n">
        <v>2.5482</v>
      </c>
      <c r="M367" s="3" t="s">
        <v>20</v>
      </c>
      <c r="N367" s="3" t="s">
        <v>283</v>
      </c>
      <c r="O367" s="3" t="s">
        <v>264</v>
      </c>
      <c r="P367" s="12" t="s">
        <v>1196</v>
      </c>
    </row>
    <row r="368" spans="1:16" ht="24.75">
      <c r="A368" s="9" t="s">
        <v>1174</v>
      </c>
      <c r="B368" s="3" t="s">
        <v>1175</v>
      </c>
      <c r="C368" s="5" t="n">
        <v>1.0</v>
      </c>
      <c r="D368" s="6" t="n">
        <v>8.0</v>
      </c>
      <c r="E368" s="6" t="n">
        <v>8.0</v>
      </c>
      <c r="F368" s="10" t="n">
        <v>19.99</v>
      </c>
      <c r="G368" s="6" t="n">
        <v>19.99</v>
      </c>
      <c r="H368" s="5" t="s">
        <v>1176</v>
      </c>
      <c r="I368" s="3" t="s">
        <v>1177</v>
      </c>
      <c r="J368" s="11" t="s">
        <v>76</v>
      </c>
      <c r="K368" s="17" t="n">
        <v>2.4800000000000004</v>
      </c>
      <c r="L368" s="17" t="n">
        <v>2.4800000000000004</v>
      </c>
      <c r="M368" s="3" t="s">
        <v>20</v>
      </c>
      <c r="N368" s="3" t="s">
        <v>670</v>
      </c>
      <c r="O368" s="3" t="s">
        <v>585</v>
      </c>
      <c r="P368" s="12" t="s">
        <v>1196</v>
      </c>
    </row>
    <row r="369" spans="1:16" ht="24.75">
      <c r="A369" s="9" t="s">
        <v>1178</v>
      </c>
      <c r="B369" s="3" t="s">
        <v>1179</v>
      </c>
      <c r="C369" s="5" t="n">
        <v>1.0</v>
      </c>
      <c r="D369" s="6" t="n">
        <v>7.75</v>
      </c>
      <c r="E369" s="6" t="n">
        <v>7.75</v>
      </c>
      <c r="F369" s="10" t="n">
        <v>19.99</v>
      </c>
      <c r="G369" s="6" t="n">
        <v>19.99</v>
      </c>
      <c r="H369" s="5" t="s">
        <v>1180</v>
      </c>
      <c r="I369" s="3" t="s">
        <v>71</v>
      </c>
      <c r="J369" s="11" t="s">
        <v>35</v>
      </c>
      <c r="K369" s="17" t="n">
        <v>2.4025000000000003</v>
      </c>
      <c r="L369" s="17" t="n">
        <v>2.4025000000000003</v>
      </c>
      <c r="M369" s="3" t="s">
        <v>20</v>
      </c>
      <c r="N369" s="3" t="s">
        <v>670</v>
      </c>
      <c r="O369" s="3" t="s">
        <v>585</v>
      </c>
      <c r="P369" s="12" t="s">
        <v>1196</v>
      </c>
    </row>
    <row r="370" spans="1:16">
      <c r="A370" s="9" t="s">
        <v>1181</v>
      </c>
      <c r="B370" s="3" t="s">
        <v>1182</v>
      </c>
      <c r="C370" s="5" t="n">
        <v>1.0</v>
      </c>
      <c r="D370" s="6" t="n">
        <v>7.5</v>
      </c>
      <c r="E370" s="6" t="n">
        <v>7.5</v>
      </c>
      <c r="F370" s="10" t="n">
        <v>16.99</v>
      </c>
      <c r="G370" s="6" t="n">
        <v>16.99</v>
      </c>
      <c r="H370" s="5" t="s">
        <v>1183</v>
      </c>
      <c r="I370" s="3" t="s">
        <v>141</v>
      </c>
      <c r="J370" s="11" t="s">
        <v>81</v>
      </c>
      <c r="K370" s="17" t="n">
        <v>2.325</v>
      </c>
      <c r="L370" s="17" t="n">
        <v>2.325</v>
      </c>
      <c r="M370" s="3" t="s">
        <v>20</v>
      </c>
      <c r="N370" s="3" t="s">
        <v>670</v>
      </c>
      <c r="O370" s="3" t="s">
        <v>585</v>
      </c>
      <c r="P370" s="12" t="s">
        <v>1196</v>
      </c>
    </row>
    <row r="371" spans="1:16" ht="24.75">
      <c r="A371" s="9" t="s">
        <v>1184</v>
      </c>
      <c r="B371" s="3" t="s">
        <v>1185</v>
      </c>
      <c r="C371" s="5" t="n">
        <v>1.0</v>
      </c>
      <c r="D371" s="6" t="n">
        <v>6.85</v>
      </c>
      <c r="E371" s="6" t="n">
        <v>6.85</v>
      </c>
      <c r="F371" s="10" t="n">
        <v>14.98</v>
      </c>
      <c r="G371" s="6" t="n">
        <v>14.98</v>
      </c>
      <c r="H371" s="5" t="s">
        <v>1186</v>
      </c>
      <c r="I371" s="3" t="s">
        <v>402</v>
      </c>
      <c r="J371" s="11" t="s">
        <v>35</v>
      </c>
      <c r="K371" s="17" t="n">
        <v>2.1235000000000004</v>
      </c>
      <c r="L371" s="17" t="n">
        <v>2.1235000000000004</v>
      </c>
      <c r="M371" s="3" t="s">
        <v>20</v>
      </c>
      <c r="N371" s="3" t="s">
        <v>283</v>
      </c>
      <c r="O371" s="3" t="s">
        <v>264</v>
      </c>
      <c r="P371" s="12" t="s">
        <v>1196</v>
      </c>
    </row>
    <row r="372" spans="1:16" ht="24.75">
      <c r="A372" s="9" t="s">
        <v>1187</v>
      </c>
      <c r="B372" s="3" t="s">
        <v>1188</v>
      </c>
      <c r="C372" s="5" t="n">
        <v>1.0</v>
      </c>
      <c r="D372" s="6" t="n">
        <v>6.47</v>
      </c>
      <c r="E372" s="6" t="n">
        <v>6.47</v>
      </c>
      <c r="F372" s="10" t="n">
        <v>12.98</v>
      </c>
      <c r="G372" s="6" t="n">
        <v>12.98</v>
      </c>
      <c r="H372" s="5" t="s">
        <v>1189</v>
      </c>
      <c r="I372" s="3" t="s">
        <v>1050</v>
      </c>
      <c r="J372" s="11" t="s">
        <v>262</v>
      </c>
      <c r="K372" s="17" t="n">
        <v>2.0057</v>
      </c>
      <c r="L372" s="17" t="n">
        <v>2.0057</v>
      </c>
      <c r="M372" s="3" t="s">
        <v>20</v>
      </c>
      <c r="N372" s="3" t="s">
        <v>584</v>
      </c>
      <c r="O372" s="3" t="s">
        <v>585</v>
      </c>
      <c r="P372" s="12" t="s">
        <v>1196</v>
      </c>
    </row>
    <row r="373" spans="1:16" ht="24.75">
      <c r="A373" s="9" t="s">
        <v>1190</v>
      </c>
      <c r="B373" s="3" t="s">
        <v>1191</v>
      </c>
      <c r="C373" s="5" t="n">
        <v>1.0</v>
      </c>
      <c r="D373" s="6" t="n">
        <v>6.39</v>
      </c>
      <c r="E373" s="6" t="n">
        <v>6.39</v>
      </c>
      <c r="F373" s="10" t="n">
        <v>16.99</v>
      </c>
      <c r="G373" s="6" t="n">
        <v>16.99</v>
      </c>
      <c r="H373" s="5" t="s">
        <v>1192</v>
      </c>
      <c r="I373" s="3" t="s">
        <v>1196</v>
      </c>
      <c r="J373" s="11" t="s">
        <v>81</v>
      </c>
      <c r="K373" s="17" t="n">
        <v>1.9809</v>
      </c>
      <c r="L373" s="17" t="n">
        <v>1.9809</v>
      </c>
      <c r="M373" s="3" t="s">
        <v>20</v>
      </c>
      <c r="N373" s="3" t="s">
        <v>670</v>
      </c>
      <c r="O373" s="3" t="s">
        <v>689</v>
      </c>
      <c r="P373" s="12" t="s">
        <v>1196</v>
      </c>
    </row>
    <row r="374" spans="1:16">
      <c r="A374" s="9" t="s">
        <v>1193</v>
      </c>
      <c r="B374" s="3" t="s">
        <v>1194</v>
      </c>
      <c r="C374" s="5" t="n">
        <v>1.0</v>
      </c>
      <c r="D374" s="6" t="n">
        <v>5.45</v>
      </c>
      <c r="E374" s="6" t="n">
        <v>5.45</v>
      </c>
      <c r="F374" s="10" t="n">
        <v>10.98</v>
      </c>
      <c r="G374" s="6" t="n">
        <v>10.98</v>
      </c>
      <c r="H374" s="5" t="s">
        <v>1195</v>
      </c>
      <c r="I374" s="3" t="s">
        <v>141</v>
      </c>
      <c r="J374" s="11" t="s">
        <v>72</v>
      </c>
      <c r="K374" s="17" t="n">
        <v>1.6895000000000002</v>
      </c>
      <c r="L374" s="17" t="n">
        <v>1.6895000000000002</v>
      </c>
      <c r="M374" s="3" t="s">
        <v>20</v>
      </c>
      <c r="N374" s="3" t="s">
        <v>670</v>
      </c>
      <c r="O374" s="3" t="s">
        <v>585</v>
      </c>
      <c r="P374" s="12" t="s">
        <v>1196</v>
      </c>
    </row>
    <row r="375" spans="1:16" ht="24.75"/>
    <row r="376" spans="1:16" ht="24.75"/>
    <row r="377" spans="1:16" ht="24.75"/>
    <row r="378"/>
  </sheetData>
  <pageMargins left="0.5" right="0.5" top="0.25" bottom="0.25" header="0.3" footer="0.3"/>
  <pageSetup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BOLDetails1.xls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2015-09-10T05:17:38Z</dcterms:created>
  <dc:creator>Oleg</dc:creator>
  <lastModifiedBy>Oleg</lastModifiedBy>
  <dcterms:modified xsi:type="dcterms:W3CDTF">2015-09-10T05:17:38Z</dcterms:modified>
</coreProperties>
</file>